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2.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456" windowWidth="23256" windowHeight="14616" tabRatio="500" firstSheet="12" activeTab="14"/>
  </bookViews>
  <sheets>
    <sheet name="Title Page" sheetId="74" r:id="rId1"/>
    <sheet name="Citation Info" sheetId="32" r:id="rId2"/>
    <sheet name="2017 Improvements" sheetId="95" r:id="rId3"/>
    <sheet name="Table of Contents" sheetId="73" r:id="rId4"/>
    <sheet name="1.0 Overview-&gt;" sheetId="77" r:id="rId5"/>
    <sheet name="1.1 Introduction " sheetId="7" r:id="rId6"/>
    <sheet name="1.2 Contact" sheetId="75" r:id="rId7"/>
    <sheet name="1.3 Royalty Yield Summary 2016" sheetId="30" r:id="rId8"/>
    <sheet name="1.4 Royalty Yield Series" sheetId="90" r:id="rId9"/>
    <sheet name="1.4.1 Fig-Royalty Yield Series" sheetId="93" r:id="rId10"/>
    <sheet name="1.5.1 Economic Summary 2015" sheetId="105" r:id="rId11"/>
    <sheet name="1.5.2 Economic Summary 2016" sheetId="89" r:id="rId12"/>
    <sheet name="1.5.3 Fig-Economic Summary 2016" sheetId="94" r:id="rId13"/>
    <sheet name="1.6 Sensitivity" sheetId="56" r:id="rId14"/>
    <sheet name="1.7 Revenues by Licensor" sheetId="55" r:id="rId15"/>
    <sheet name="1.7.1 Summary by Licensor" sheetId="107" r:id="rId16"/>
    <sheet name="1.8 Device Sales" sheetId="9" r:id="rId17"/>
    <sheet name="1.9 OEM Sales" sheetId="11" r:id="rId18"/>
    <sheet name="2.0 Leaders-&gt;" sheetId="78" r:id="rId19"/>
    <sheet name="2.1 Qualcomm" sheetId="1" r:id="rId20"/>
    <sheet name="2.2 Ericsson" sheetId="3" r:id="rId21"/>
    <sheet name="2.3 Nokia" sheetId="4" r:id="rId22"/>
    <sheet name="2.3.1 Alcatel-Lucent (Nokia)" sheetId="35" r:id="rId23"/>
    <sheet name="2.4 Interdigital" sheetId="2" r:id="rId24"/>
    <sheet name="2.5 Microsoft" sheetId="8" r:id="rId25"/>
    <sheet name="3.0 Other Public-&gt;" sheetId="79" r:id="rId26"/>
    <sheet name="3.1 Philips" sheetId="41" r:id="rId27"/>
    <sheet name="3.2 ATT 802.11" sheetId="70" r:id="rId28"/>
    <sheet name="3.3 ATT MPEG4" sheetId="42" r:id="rId29"/>
    <sheet name="3.4 Broadcom" sheetId="36" r:id="rId30"/>
    <sheet name="3.5 Xperi" sheetId="57" r:id="rId31"/>
    <sheet name="3.6 Rambus" sheetId="61" r:id="rId32"/>
    <sheet name="3.7 Acacia Technologies" sheetId="14" r:id="rId33"/>
    <sheet name="3.8 Quarterhill" sheetId="15" r:id="rId34"/>
    <sheet name="3.9 Parkervision" sheetId="69" r:id="rId35"/>
    <sheet name="3.10 Unwired Planet" sheetId="26" r:id="rId36"/>
    <sheet name="3.11 VirnetX" sheetId="68" r:id="rId37"/>
    <sheet name="3.12 Marathon Patent Group" sheetId="63" r:id="rId38"/>
    <sheet name="3.13 IBM" sheetId="96" r:id="rId39"/>
    <sheet name="3.14 Tivo" sheetId="97" r:id="rId40"/>
    <sheet name="3.15 Technicolor" sheetId="101" r:id="rId41"/>
    <sheet name="3.16 Blackberry" sheetId="102" r:id="rId42"/>
    <sheet name="4.0 Pools-&gt;" sheetId="80" r:id="rId43"/>
    <sheet name="4.1 Via Licensing AAC" sheetId="19" r:id="rId44"/>
    <sheet name="4.2 Via Licensing LTE" sheetId="25" r:id="rId45"/>
    <sheet name="4.3 MPEGLA MPEG4" sheetId="21" r:id="rId46"/>
    <sheet name="4.4 MPEGLA AVC H.264" sheetId="22" r:id="rId47"/>
    <sheet name="4.5 SISVEL LTE" sheetId="37" r:id="rId48"/>
    <sheet name="4.6 SISVEL Wifi" sheetId="43" r:id="rId49"/>
    <sheet name="4.7 Via Licensing WCDMA" sheetId="20" r:id="rId50"/>
    <sheet name="4.8 Vectis WiFi" sheetId="62" r:id="rId51"/>
    <sheet name="4.9 MPEGLA HEVC" sheetId="98" r:id="rId52"/>
    <sheet name="4.10 HEVC Advance" sheetId="99" r:id="rId53"/>
    <sheet name="4.11 Velos Media HEVC" sheetId="100" r:id="rId54"/>
    <sheet name="5.0 Other Private-&gt;" sheetId="81" r:id="rId55"/>
    <sheet name="5.1 SISVEL Wireless" sheetId="38" r:id="rId56"/>
    <sheet name="5.2 IPCom" sheetId="51" r:id="rId57"/>
    <sheet name="5.3 PanOptis-Optis" sheetId="58" r:id="rId58"/>
    <sheet name="5.4 IP Bridge" sheetId="66" r:id="rId59"/>
    <sheet name="5.5 Intellectual Ventures" sheetId="72" r:id="rId60"/>
    <sheet name="5.6 Huawei" sheetId="5" r:id="rId61"/>
    <sheet name="5.7 Conversant IP" sheetId="103" r:id="rId62"/>
    <sheet name="6.0 Others" sheetId="88" r:id="rId63"/>
    <sheet name="7.0 Closing" sheetId="85" r:id="rId64"/>
  </sheets>
  <externalReferences>
    <externalReference r:id="rId65"/>
  </externalReferences>
  <definedNames>
    <definedName name="_ftn1" localSheetId="5">'1.1 Introduction '!$A$82</definedName>
    <definedName name="_ftnref1" localSheetId="5">'1.1 Introduction '!$A$79</definedName>
    <definedName name="rHigh">'4.4 MPEGLA AVC H.264'!$B$78</definedName>
    <definedName name="rLow">'4.4 MPEGLA AVC H.264'!$B$77</definedName>
    <definedName name="rTail">'4.4 MPEGLA AVC H.264'!$B$76</definedName>
    <definedName name="vAACt1High">'4.1 Via Licensing AAC'!$D$221</definedName>
    <definedName name="vHigh">'4.4 MPEGLA AVC H.264'!$C$78</definedName>
    <definedName name="vLow">'4.4 MPEGLA AVC H.264'!$C$77</definedName>
    <definedName name="vTail">'4.4 MPEGLA AVC H.264'!$C$76</definedName>
  </definedNames>
  <calcPr calcId="145621" refMode="R1C1" concurrentCalc="0"/>
  <extLst>
    <ext xmlns:mx="http://schemas.microsoft.com/office/mac/excel/2008/main" uri="{7523E5D3-25F3-A5E0-1632-64F254C22452}">
      <mx:ArchID Flags="2"/>
    </ext>
  </extLst>
</workbook>
</file>

<file path=xl/calcChain.xml><?xml version="1.0" encoding="utf-8"?>
<calcChain xmlns="http://schemas.openxmlformats.org/spreadsheetml/2006/main">
  <c r="K81" i="22" l="1"/>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C154" i="22"/>
  <c r="D154" i="22"/>
  <c r="E154" i="22"/>
  <c r="F154" i="22"/>
  <c r="G154" i="22"/>
  <c r="H154" i="22"/>
  <c r="I154" i="22"/>
  <c r="J154" i="22"/>
  <c r="K154" i="22"/>
  <c r="K115" i="22"/>
  <c r="C155" i="22"/>
  <c r="D155" i="22"/>
  <c r="E155" i="22"/>
  <c r="F155" i="22"/>
  <c r="G155" i="22"/>
  <c r="H155" i="22"/>
  <c r="I155" i="22"/>
  <c r="J155" i="22"/>
  <c r="K155" i="22"/>
  <c r="K116" i="22"/>
  <c r="K117" i="22"/>
  <c r="AA29" i="55"/>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AA28" i="55"/>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AA27" i="55"/>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AA26" i="55"/>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AA25" i="55"/>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AA24" i="55"/>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AA23" i="55"/>
  <c r="D81" i="22"/>
  <c r="D82" i="22"/>
  <c r="D83" i="22"/>
  <c r="D84" i="22"/>
  <c r="D85" i="22"/>
  <c r="D86" i="22"/>
  <c r="D87" i="22"/>
  <c r="D88" i="22"/>
  <c r="D89" i="22"/>
  <c r="D90" i="22"/>
  <c r="D91" i="22"/>
  <c r="D92" i="22"/>
  <c r="D93" i="22"/>
  <c r="D94" i="22"/>
  <c r="D95" i="22"/>
  <c r="D96" i="22"/>
  <c r="D97" i="22"/>
  <c r="D98" i="22"/>
  <c r="D99" i="22"/>
  <c r="D100" i="22"/>
  <c r="D101" i="22"/>
  <c r="D102" i="22"/>
  <c r="D103" i="22"/>
  <c r="D104" i="22"/>
  <c r="D105" i="22"/>
  <c r="D106" i="22"/>
  <c r="D107" i="22"/>
  <c r="D108" i="22"/>
  <c r="D109" i="22"/>
  <c r="D110" i="22"/>
  <c r="D111" i="22"/>
  <c r="D112" i="22"/>
  <c r="D113" i="22"/>
  <c r="D114" i="22"/>
  <c r="D115" i="22"/>
  <c r="D116" i="22"/>
  <c r="D117" i="22"/>
  <c r="AA22" i="55"/>
  <c r="C81" i="22"/>
  <c r="C82" i="22"/>
  <c r="C83" i="22"/>
  <c r="C84" i="22"/>
  <c r="C85" i="22"/>
  <c r="C86" i="22"/>
  <c r="C87" i="22"/>
  <c r="C88" i="22"/>
  <c r="C89" i="22"/>
  <c r="C90" i="22"/>
  <c r="C91" i="22"/>
  <c r="C92" i="22"/>
  <c r="C93" i="22"/>
  <c r="C94" i="22"/>
  <c r="C95" i="22"/>
  <c r="C96" i="22"/>
  <c r="C97" i="22"/>
  <c r="C98" i="22"/>
  <c r="C99" i="22"/>
  <c r="C100" i="22"/>
  <c r="C101" i="22"/>
  <c r="C102" i="22"/>
  <c r="C103" i="22"/>
  <c r="C104" i="22"/>
  <c r="C105" i="22"/>
  <c r="C106" i="22"/>
  <c r="C107" i="22"/>
  <c r="C108" i="22"/>
  <c r="C109" i="22"/>
  <c r="C110" i="22"/>
  <c r="C111" i="22"/>
  <c r="C112" i="22"/>
  <c r="C113" i="22"/>
  <c r="C114" i="22"/>
  <c r="C115" i="22"/>
  <c r="C116" i="22"/>
  <c r="C117" i="22"/>
  <c r="AA21" i="55"/>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AA20" i="55"/>
  <c r="G22" i="55"/>
  <c r="B10" i="55"/>
  <c r="B22" i="55"/>
  <c r="C10" i="55"/>
  <c r="E13" i="3"/>
  <c r="F14" i="3"/>
  <c r="G14" i="3"/>
  <c r="I14" i="3"/>
  <c r="C22" i="55"/>
  <c r="D10" i="55"/>
  <c r="E10" i="55"/>
  <c r="F10" i="55"/>
  <c r="G10" i="55"/>
  <c r="H10" i="55"/>
  <c r="I10" i="55"/>
  <c r="J10" i="55"/>
  <c r="K10" i="55"/>
  <c r="L10" i="55"/>
  <c r="M10" i="55"/>
  <c r="N10" i="55"/>
  <c r="O10" i="55"/>
  <c r="P10" i="55"/>
  <c r="Q10" i="55"/>
  <c r="R10" i="55"/>
  <c r="S10" i="55"/>
  <c r="T10" i="55"/>
  <c r="U10" i="55"/>
  <c r="V10" i="55"/>
  <c r="W10" i="55"/>
  <c r="X10" i="55"/>
  <c r="Y10" i="55"/>
  <c r="Z10" i="55"/>
  <c r="AA10" i="55"/>
  <c r="AB10" i="55"/>
  <c r="AC10" i="55"/>
  <c r="AD10" i="55"/>
  <c r="AE10" i="55"/>
  <c r="AF10" i="55"/>
  <c r="AG10" i="55"/>
  <c r="AH10" i="55"/>
  <c r="AI10" i="55"/>
  <c r="AJ10" i="55"/>
  <c r="AK10" i="55"/>
  <c r="AL10" i="55"/>
  <c r="AM10" i="55"/>
  <c r="AN10" i="55"/>
  <c r="AO10" i="55"/>
  <c r="C15" i="4"/>
  <c r="D15" i="4"/>
  <c r="D22" i="55"/>
  <c r="D17" i="35"/>
  <c r="E22" i="55"/>
  <c r="E15" i="2"/>
  <c r="F22" i="55"/>
  <c r="F54" i="36"/>
  <c r="C83" i="36"/>
  <c r="D83" i="36"/>
  <c r="K22" i="55"/>
  <c r="H54" i="57"/>
  <c r="I54" i="57"/>
  <c r="F42" i="57"/>
  <c r="L22" i="55"/>
  <c r="D110" i="61"/>
  <c r="F110" i="61"/>
  <c r="M22" i="55"/>
  <c r="D34" i="14"/>
  <c r="N22" i="55"/>
  <c r="O22" i="55"/>
  <c r="P22" i="55"/>
  <c r="R22" i="55"/>
  <c r="D22" i="96"/>
  <c r="E22" i="96"/>
  <c r="T22" i="55"/>
  <c r="D32" i="101"/>
  <c r="E32" i="101"/>
  <c r="V22" i="55"/>
  <c r="D183" i="19"/>
  <c r="E183" i="19"/>
  <c r="B184" i="19"/>
  <c r="B188" i="19"/>
  <c r="B189" i="19"/>
  <c r="D184" i="19"/>
  <c r="E184" i="19"/>
  <c r="F184" i="19"/>
  <c r="G184" i="19"/>
  <c r="H184" i="19"/>
  <c r="I184" i="19"/>
  <c r="J184" i="19"/>
  <c r="K184" i="19"/>
  <c r="L184" i="19"/>
  <c r="N184" i="19"/>
  <c r="O184" i="19"/>
  <c r="P184" i="19"/>
  <c r="Q184" i="19"/>
  <c r="R184" i="19"/>
  <c r="S184" i="19"/>
  <c r="T184" i="19"/>
  <c r="U184" i="19"/>
  <c r="V184" i="19"/>
  <c r="W184" i="19"/>
  <c r="C185" i="19"/>
  <c r="D185" i="19"/>
  <c r="E185" i="19"/>
  <c r="F183" i="19"/>
  <c r="F185" i="19"/>
  <c r="G183" i="19"/>
  <c r="G185" i="19"/>
  <c r="H183" i="19"/>
  <c r="H185" i="19"/>
  <c r="I183" i="19"/>
  <c r="I185" i="19"/>
  <c r="J183" i="19"/>
  <c r="J185" i="19"/>
  <c r="K183" i="19"/>
  <c r="K185" i="19"/>
  <c r="L183" i="19"/>
  <c r="L185" i="19"/>
  <c r="A188" i="19"/>
  <c r="C188" i="19"/>
  <c r="D188" i="19"/>
  <c r="E188" i="19"/>
  <c r="F188" i="19"/>
  <c r="G188" i="19"/>
  <c r="H188" i="19"/>
  <c r="I188" i="19"/>
  <c r="J188" i="19"/>
  <c r="K188" i="19"/>
  <c r="L188" i="19"/>
  <c r="N188" i="19"/>
  <c r="O188" i="19"/>
  <c r="P188" i="19"/>
  <c r="Q188" i="19"/>
  <c r="R188" i="19"/>
  <c r="S188" i="19"/>
  <c r="T188" i="19"/>
  <c r="U188" i="19"/>
  <c r="V188" i="19"/>
  <c r="W188" i="19"/>
  <c r="A189" i="19"/>
  <c r="C189" i="19"/>
  <c r="D189" i="19"/>
  <c r="E189" i="19"/>
  <c r="F189" i="19"/>
  <c r="G189" i="19"/>
  <c r="H189" i="19"/>
  <c r="I189" i="19"/>
  <c r="J189" i="19"/>
  <c r="K189" i="19"/>
  <c r="L189" i="19"/>
  <c r="N189" i="19"/>
  <c r="O189" i="19"/>
  <c r="P189" i="19"/>
  <c r="Q189" i="19"/>
  <c r="R189" i="19"/>
  <c r="S189" i="19"/>
  <c r="T189" i="19"/>
  <c r="U189" i="19"/>
  <c r="V189" i="19"/>
  <c r="W189" i="19"/>
  <c r="B190" i="19"/>
  <c r="A190" i="19"/>
  <c r="C190" i="19"/>
  <c r="D190" i="19"/>
  <c r="E190" i="19"/>
  <c r="F190" i="19"/>
  <c r="G190" i="19"/>
  <c r="H190" i="19"/>
  <c r="I190" i="19"/>
  <c r="J190" i="19"/>
  <c r="K190" i="19"/>
  <c r="L190" i="19"/>
  <c r="N190" i="19"/>
  <c r="O190" i="19"/>
  <c r="P190" i="19"/>
  <c r="Q190" i="19"/>
  <c r="R190" i="19"/>
  <c r="S190" i="19"/>
  <c r="T190" i="19"/>
  <c r="U190" i="19"/>
  <c r="V190" i="19"/>
  <c r="W190" i="19"/>
  <c r="B191" i="19"/>
  <c r="A191" i="19"/>
  <c r="C191" i="19"/>
  <c r="D191" i="19"/>
  <c r="E191" i="19"/>
  <c r="F191" i="19"/>
  <c r="G191" i="19"/>
  <c r="H191" i="19"/>
  <c r="I191" i="19"/>
  <c r="J191" i="19"/>
  <c r="K191" i="19"/>
  <c r="L191" i="19"/>
  <c r="N191" i="19"/>
  <c r="O191" i="19"/>
  <c r="P191" i="19"/>
  <c r="Q191" i="19"/>
  <c r="R191" i="19"/>
  <c r="S191" i="19"/>
  <c r="T191" i="19"/>
  <c r="U191" i="19"/>
  <c r="V191" i="19"/>
  <c r="W191" i="19"/>
  <c r="B192" i="19"/>
  <c r="A192" i="19"/>
  <c r="C192" i="19"/>
  <c r="D192" i="19"/>
  <c r="E192" i="19"/>
  <c r="F192" i="19"/>
  <c r="G192" i="19"/>
  <c r="H192" i="19"/>
  <c r="I192" i="19"/>
  <c r="J192" i="19"/>
  <c r="K192" i="19"/>
  <c r="L192" i="19"/>
  <c r="N192" i="19"/>
  <c r="O192" i="19"/>
  <c r="P192" i="19"/>
  <c r="Q192" i="19"/>
  <c r="R192" i="19"/>
  <c r="S192" i="19"/>
  <c r="T192" i="19"/>
  <c r="U192" i="19"/>
  <c r="V192" i="19"/>
  <c r="W192" i="19"/>
  <c r="B193" i="19"/>
  <c r="A193" i="19"/>
  <c r="C193" i="19"/>
  <c r="D193" i="19"/>
  <c r="E193" i="19"/>
  <c r="F193" i="19"/>
  <c r="G193" i="19"/>
  <c r="H193" i="19"/>
  <c r="I193" i="19"/>
  <c r="J193" i="19"/>
  <c r="K193" i="19"/>
  <c r="L193" i="19"/>
  <c r="N193" i="19"/>
  <c r="O193" i="19"/>
  <c r="P193" i="19"/>
  <c r="Q193" i="19"/>
  <c r="R193" i="19"/>
  <c r="S193" i="19"/>
  <c r="T193" i="19"/>
  <c r="U193" i="19"/>
  <c r="V193" i="19"/>
  <c r="W193" i="19"/>
  <c r="B194" i="19"/>
  <c r="A194" i="19"/>
  <c r="C194" i="19"/>
  <c r="D194" i="19"/>
  <c r="E194" i="19"/>
  <c r="F194" i="19"/>
  <c r="G194" i="19"/>
  <c r="H194" i="19"/>
  <c r="I194" i="19"/>
  <c r="J194" i="19"/>
  <c r="K194" i="19"/>
  <c r="L194" i="19"/>
  <c r="N194" i="19"/>
  <c r="O194" i="19"/>
  <c r="P194" i="19"/>
  <c r="Q194" i="19"/>
  <c r="R194" i="19"/>
  <c r="S194" i="19"/>
  <c r="T194" i="19"/>
  <c r="U194" i="19"/>
  <c r="V194" i="19"/>
  <c r="W194" i="19"/>
  <c r="B195" i="19"/>
  <c r="A195" i="19"/>
  <c r="C195" i="19"/>
  <c r="D195" i="19"/>
  <c r="E195" i="19"/>
  <c r="F195" i="19"/>
  <c r="G195" i="19"/>
  <c r="H195" i="19"/>
  <c r="I195" i="19"/>
  <c r="J195" i="19"/>
  <c r="K195" i="19"/>
  <c r="L195" i="19"/>
  <c r="N195" i="19"/>
  <c r="O195" i="19"/>
  <c r="P195" i="19"/>
  <c r="Q195" i="19"/>
  <c r="R195" i="19"/>
  <c r="S195" i="19"/>
  <c r="T195" i="19"/>
  <c r="U195" i="19"/>
  <c r="V195" i="19"/>
  <c r="W195" i="19"/>
  <c r="B196" i="19"/>
  <c r="A196" i="19"/>
  <c r="C196" i="19"/>
  <c r="D196" i="19"/>
  <c r="E196" i="19"/>
  <c r="F196" i="19"/>
  <c r="G196" i="19"/>
  <c r="H196" i="19"/>
  <c r="I196" i="19"/>
  <c r="J196" i="19"/>
  <c r="K196" i="19"/>
  <c r="L196" i="19"/>
  <c r="N196" i="19"/>
  <c r="O196" i="19"/>
  <c r="P196" i="19"/>
  <c r="Q196" i="19"/>
  <c r="R196" i="19"/>
  <c r="S196" i="19"/>
  <c r="T196" i="19"/>
  <c r="U196" i="19"/>
  <c r="V196" i="19"/>
  <c r="W196" i="19"/>
  <c r="B197" i="19"/>
  <c r="C197" i="19"/>
  <c r="D197" i="19"/>
  <c r="E197" i="19"/>
  <c r="F197" i="19"/>
  <c r="G197" i="19"/>
  <c r="H197" i="19"/>
  <c r="I197" i="19"/>
  <c r="J197" i="19"/>
  <c r="K197" i="19"/>
  <c r="L197" i="19"/>
  <c r="N197" i="19"/>
  <c r="O197" i="19"/>
  <c r="P197" i="19"/>
  <c r="Q197" i="19"/>
  <c r="R197" i="19"/>
  <c r="S197" i="19"/>
  <c r="T197" i="19"/>
  <c r="U197" i="19"/>
  <c r="V197" i="19"/>
  <c r="W197" i="19"/>
  <c r="C198" i="19"/>
  <c r="D198" i="19"/>
  <c r="E198" i="19"/>
  <c r="F198" i="19"/>
  <c r="G198" i="19"/>
  <c r="H198" i="19"/>
  <c r="I198" i="19"/>
  <c r="J198" i="19"/>
  <c r="K198" i="19"/>
  <c r="L198" i="19"/>
  <c r="B200" i="19"/>
  <c r="D200" i="19"/>
  <c r="E200" i="19"/>
  <c r="F200" i="19"/>
  <c r="G200" i="19"/>
  <c r="H200" i="19"/>
  <c r="I200" i="19"/>
  <c r="J200" i="19"/>
  <c r="K200" i="19"/>
  <c r="L200" i="19"/>
  <c r="N200" i="19"/>
  <c r="O200" i="19"/>
  <c r="P200" i="19"/>
  <c r="Q200" i="19"/>
  <c r="R200" i="19"/>
  <c r="S200" i="19"/>
  <c r="T200" i="19"/>
  <c r="U200" i="19"/>
  <c r="V200" i="19"/>
  <c r="W200" i="19"/>
  <c r="C201" i="19"/>
  <c r="D201" i="19"/>
  <c r="E201" i="19"/>
  <c r="F201" i="19"/>
  <c r="G201" i="19"/>
  <c r="H201" i="19"/>
  <c r="I201" i="19"/>
  <c r="J201" i="19"/>
  <c r="K201" i="19"/>
  <c r="L201" i="19"/>
  <c r="B204" i="19"/>
  <c r="A204" i="19"/>
  <c r="C204" i="19"/>
  <c r="D204" i="19"/>
  <c r="E204" i="19"/>
  <c r="F204" i="19"/>
  <c r="G204" i="19"/>
  <c r="H204" i="19"/>
  <c r="I204" i="19"/>
  <c r="J204" i="19"/>
  <c r="K204" i="19"/>
  <c r="L204" i="19"/>
  <c r="N204" i="19"/>
  <c r="O204" i="19"/>
  <c r="P204" i="19"/>
  <c r="Q204" i="19"/>
  <c r="R204" i="19"/>
  <c r="S204" i="19"/>
  <c r="T204" i="19"/>
  <c r="U204" i="19"/>
  <c r="V204" i="19"/>
  <c r="W204" i="19"/>
  <c r="B205" i="19"/>
  <c r="A205" i="19"/>
  <c r="C205" i="19"/>
  <c r="D205" i="19"/>
  <c r="E205" i="19"/>
  <c r="F205" i="19"/>
  <c r="G205" i="19"/>
  <c r="H205" i="19"/>
  <c r="I205" i="19"/>
  <c r="J205" i="19"/>
  <c r="K205" i="19"/>
  <c r="L205" i="19"/>
  <c r="N205" i="19"/>
  <c r="O205" i="19"/>
  <c r="P205" i="19"/>
  <c r="Q205" i="19"/>
  <c r="R205" i="19"/>
  <c r="S205" i="19"/>
  <c r="T205" i="19"/>
  <c r="U205" i="19"/>
  <c r="V205" i="19"/>
  <c r="W205" i="19"/>
  <c r="B206" i="19"/>
  <c r="A206" i="19"/>
  <c r="C206" i="19"/>
  <c r="D206" i="19"/>
  <c r="E206" i="19"/>
  <c r="F206" i="19"/>
  <c r="G206" i="19"/>
  <c r="H206" i="19"/>
  <c r="I206" i="19"/>
  <c r="J206" i="19"/>
  <c r="K206" i="19"/>
  <c r="L206" i="19"/>
  <c r="N206" i="19"/>
  <c r="O206" i="19"/>
  <c r="P206" i="19"/>
  <c r="Q206" i="19"/>
  <c r="R206" i="19"/>
  <c r="S206" i="19"/>
  <c r="T206" i="19"/>
  <c r="U206" i="19"/>
  <c r="V206" i="19"/>
  <c r="W206" i="19"/>
  <c r="B207" i="19"/>
  <c r="A207" i="19"/>
  <c r="C207" i="19"/>
  <c r="D207" i="19"/>
  <c r="E207" i="19"/>
  <c r="F207" i="19"/>
  <c r="G207" i="19"/>
  <c r="H207" i="19"/>
  <c r="I207" i="19"/>
  <c r="J207" i="19"/>
  <c r="K207" i="19"/>
  <c r="L207" i="19"/>
  <c r="N207" i="19"/>
  <c r="O207" i="19"/>
  <c r="P207" i="19"/>
  <c r="Q207" i="19"/>
  <c r="R207" i="19"/>
  <c r="S207" i="19"/>
  <c r="T207" i="19"/>
  <c r="U207" i="19"/>
  <c r="V207" i="19"/>
  <c r="W207" i="19"/>
  <c r="B208" i="19"/>
  <c r="A208" i="19"/>
  <c r="C208" i="19"/>
  <c r="D208" i="19"/>
  <c r="E208" i="19"/>
  <c r="F208" i="19"/>
  <c r="G208" i="19"/>
  <c r="H208" i="19"/>
  <c r="I208" i="19"/>
  <c r="J208" i="19"/>
  <c r="K208" i="19"/>
  <c r="L208" i="19"/>
  <c r="N208" i="19"/>
  <c r="O208" i="19"/>
  <c r="P208" i="19"/>
  <c r="Q208" i="19"/>
  <c r="R208" i="19"/>
  <c r="S208" i="19"/>
  <c r="T208" i="19"/>
  <c r="U208" i="19"/>
  <c r="V208" i="19"/>
  <c r="W208" i="19"/>
  <c r="B209" i="19"/>
  <c r="A209" i="19"/>
  <c r="C209" i="19"/>
  <c r="D209" i="19"/>
  <c r="E209" i="19"/>
  <c r="F209" i="19"/>
  <c r="G209" i="19"/>
  <c r="H209" i="19"/>
  <c r="I209" i="19"/>
  <c r="J209" i="19"/>
  <c r="K209" i="19"/>
  <c r="L209" i="19"/>
  <c r="N209" i="19"/>
  <c r="O209" i="19"/>
  <c r="P209" i="19"/>
  <c r="Q209" i="19"/>
  <c r="R209" i="19"/>
  <c r="S209" i="19"/>
  <c r="T209" i="19"/>
  <c r="U209" i="19"/>
  <c r="V209" i="19"/>
  <c r="W209" i="19"/>
  <c r="B210" i="19"/>
  <c r="A210" i="19"/>
  <c r="C210" i="19"/>
  <c r="D210" i="19"/>
  <c r="E210" i="19"/>
  <c r="F210" i="19"/>
  <c r="G210" i="19"/>
  <c r="H210" i="19"/>
  <c r="I210" i="19"/>
  <c r="J210" i="19"/>
  <c r="K210" i="19"/>
  <c r="L210" i="19"/>
  <c r="N210" i="19"/>
  <c r="O210" i="19"/>
  <c r="P210" i="19"/>
  <c r="Q210" i="19"/>
  <c r="R210" i="19"/>
  <c r="S210" i="19"/>
  <c r="T210" i="19"/>
  <c r="U210" i="19"/>
  <c r="V210" i="19"/>
  <c r="W210" i="19"/>
  <c r="B211" i="19"/>
  <c r="A211" i="19"/>
  <c r="C211" i="19"/>
  <c r="D211" i="19"/>
  <c r="E211" i="19"/>
  <c r="F211" i="19"/>
  <c r="G211" i="19"/>
  <c r="H211" i="19"/>
  <c r="I211" i="19"/>
  <c r="J211" i="19"/>
  <c r="K211" i="19"/>
  <c r="L211" i="19"/>
  <c r="N211" i="19"/>
  <c r="O211" i="19"/>
  <c r="P211" i="19"/>
  <c r="Q211" i="19"/>
  <c r="R211" i="19"/>
  <c r="S211" i="19"/>
  <c r="T211" i="19"/>
  <c r="U211" i="19"/>
  <c r="V211" i="19"/>
  <c r="W211" i="19"/>
  <c r="B212" i="19"/>
  <c r="A212" i="19"/>
  <c r="C212" i="19"/>
  <c r="D212" i="19"/>
  <c r="E212" i="19"/>
  <c r="F212" i="19"/>
  <c r="G212" i="19"/>
  <c r="H212" i="19"/>
  <c r="I212" i="19"/>
  <c r="J212" i="19"/>
  <c r="K212" i="19"/>
  <c r="L212" i="19"/>
  <c r="N212" i="19"/>
  <c r="O212" i="19"/>
  <c r="P212" i="19"/>
  <c r="Q212" i="19"/>
  <c r="R212" i="19"/>
  <c r="S212" i="19"/>
  <c r="T212" i="19"/>
  <c r="U212" i="19"/>
  <c r="V212" i="19"/>
  <c r="W212" i="19"/>
  <c r="B213" i="19"/>
  <c r="C213" i="19"/>
  <c r="D213" i="19"/>
  <c r="E213" i="19"/>
  <c r="F213" i="19"/>
  <c r="G213" i="19"/>
  <c r="H213" i="19"/>
  <c r="I213" i="19"/>
  <c r="J213" i="19"/>
  <c r="K213" i="19"/>
  <c r="L213" i="19"/>
  <c r="N213" i="19"/>
  <c r="O213" i="19"/>
  <c r="P213" i="19"/>
  <c r="Q213" i="19"/>
  <c r="R213" i="19"/>
  <c r="S213" i="19"/>
  <c r="T213" i="19"/>
  <c r="U213" i="19"/>
  <c r="V213" i="19"/>
  <c r="W213" i="19"/>
  <c r="C214" i="19"/>
  <c r="D214" i="19"/>
  <c r="E214" i="19"/>
  <c r="F214" i="19"/>
  <c r="G214" i="19"/>
  <c r="H214" i="19"/>
  <c r="I214" i="19"/>
  <c r="J214" i="19"/>
  <c r="K214" i="19"/>
  <c r="L214" i="19"/>
  <c r="B216" i="19"/>
  <c r="D216" i="19"/>
  <c r="E216" i="19"/>
  <c r="F216" i="19"/>
  <c r="G216" i="19"/>
  <c r="H216" i="19"/>
  <c r="I216" i="19"/>
  <c r="J216" i="19"/>
  <c r="K216" i="19"/>
  <c r="L216" i="19"/>
  <c r="N216" i="19"/>
  <c r="O216" i="19"/>
  <c r="P216" i="19"/>
  <c r="Q216" i="19"/>
  <c r="R216" i="19"/>
  <c r="S216" i="19"/>
  <c r="T216" i="19"/>
  <c r="U216" i="19"/>
  <c r="V216" i="19"/>
  <c r="W216" i="19"/>
  <c r="C217" i="19"/>
  <c r="D217" i="19"/>
  <c r="E217" i="19"/>
  <c r="F217" i="19"/>
  <c r="G217" i="19"/>
  <c r="H217" i="19"/>
  <c r="I217" i="19"/>
  <c r="J217" i="19"/>
  <c r="K217" i="19"/>
  <c r="L217" i="19"/>
  <c r="B220" i="19"/>
  <c r="A220" i="19"/>
  <c r="C220" i="19"/>
  <c r="D220" i="19"/>
  <c r="E220" i="19"/>
  <c r="F220" i="19"/>
  <c r="G220" i="19"/>
  <c r="H220" i="19"/>
  <c r="I220" i="19"/>
  <c r="J220" i="19"/>
  <c r="K220" i="19"/>
  <c r="L220" i="19"/>
  <c r="N220" i="19"/>
  <c r="O220" i="19"/>
  <c r="P220" i="19"/>
  <c r="Q220" i="19"/>
  <c r="R220" i="19"/>
  <c r="S220" i="19"/>
  <c r="T220" i="19"/>
  <c r="U220" i="19"/>
  <c r="V220" i="19"/>
  <c r="W220" i="19"/>
  <c r="B221" i="19"/>
  <c r="A221" i="19"/>
  <c r="C221" i="19"/>
  <c r="D221" i="19"/>
  <c r="E221" i="19"/>
  <c r="F221" i="19"/>
  <c r="G221" i="19"/>
  <c r="H221" i="19"/>
  <c r="I221" i="19"/>
  <c r="J221" i="19"/>
  <c r="K221" i="19"/>
  <c r="L221" i="19"/>
  <c r="N221" i="19"/>
  <c r="O221" i="19"/>
  <c r="P221" i="19"/>
  <c r="Q221" i="19"/>
  <c r="R221" i="19"/>
  <c r="S221" i="19"/>
  <c r="T221" i="19"/>
  <c r="U221" i="19"/>
  <c r="V221" i="19"/>
  <c r="W221" i="19"/>
  <c r="B222" i="19"/>
  <c r="A222" i="19"/>
  <c r="C222" i="19"/>
  <c r="D222" i="19"/>
  <c r="E222" i="19"/>
  <c r="F222" i="19"/>
  <c r="G222" i="19"/>
  <c r="H222" i="19"/>
  <c r="I222" i="19"/>
  <c r="J222" i="19"/>
  <c r="K222" i="19"/>
  <c r="L222" i="19"/>
  <c r="N222" i="19"/>
  <c r="O222" i="19"/>
  <c r="P222" i="19"/>
  <c r="Q222" i="19"/>
  <c r="R222" i="19"/>
  <c r="S222" i="19"/>
  <c r="T222" i="19"/>
  <c r="U222" i="19"/>
  <c r="V222" i="19"/>
  <c r="W222" i="19"/>
  <c r="B223" i="19"/>
  <c r="A223" i="19"/>
  <c r="C223" i="19"/>
  <c r="D223" i="19"/>
  <c r="E223" i="19"/>
  <c r="F223" i="19"/>
  <c r="G223" i="19"/>
  <c r="H223" i="19"/>
  <c r="I223" i="19"/>
  <c r="J223" i="19"/>
  <c r="K223" i="19"/>
  <c r="L223" i="19"/>
  <c r="N223" i="19"/>
  <c r="O223" i="19"/>
  <c r="P223" i="19"/>
  <c r="Q223" i="19"/>
  <c r="R223" i="19"/>
  <c r="S223" i="19"/>
  <c r="T223" i="19"/>
  <c r="U223" i="19"/>
  <c r="V223" i="19"/>
  <c r="W223" i="19"/>
  <c r="B224" i="19"/>
  <c r="A224" i="19"/>
  <c r="C224" i="19"/>
  <c r="D224" i="19"/>
  <c r="E224" i="19"/>
  <c r="F224" i="19"/>
  <c r="G224" i="19"/>
  <c r="H224" i="19"/>
  <c r="I224" i="19"/>
  <c r="J224" i="19"/>
  <c r="K224" i="19"/>
  <c r="L224" i="19"/>
  <c r="N224" i="19"/>
  <c r="O224" i="19"/>
  <c r="P224" i="19"/>
  <c r="Q224" i="19"/>
  <c r="R224" i="19"/>
  <c r="S224" i="19"/>
  <c r="T224" i="19"/>
  <c r="U224" i="19"/>
  <c r="V224" i="19"/>
  <c r="W224" i="19"/>
  <c r="B225" i="19"/>
  <c r="A225" i="19"/>
  <c r="C225" i="19"/>
  <c r="D225" i="19"/>
  <c r="E225" i="19"/>
  <c r="F225" i="19"/>
  <c r="G225" i="19"/>
  <c r="H225" i="19"/>
  <c r="I225" i="19"/>
  <c r="J225" i="19"/>
  <c r="K225" i="19"/>
  <c r="L225" i="19"/>
  <c r="N225" i="19"/>
  <c r="O225" i="19"/>
  <c r="P225" i="19"/>
  <c r="Q225" i="19"/>
  <c r="R225" i="19"/>
  <c r="S225" i="19"/>
  <c r="T225" i="19"/>
  <c r="U225" i="19"/>
  <c r="V225" i="19"/>
  <c r="W225" i="19"/>
  <c r="B226" i="19"/>
  <c r="A226" i="19"/>
  <c r="C226" i="19"/>
  <c r="D226" i="19"/>
  <c r="E226" i="19"/>
  <c r="F226" i="19"/>
  <c r="G226" i="19"/>
  <c r="H226" i="19"/>
  <c r="I226" i="19"/>
  <c r="J226" i="19"/>
  <c r="K226" i="19"/>
  <c r="L226" i="19"/>
  <c r="N226" i="19"/>
  <c r="O226" i="19"/>
  <c r="P226" i="19"/>
  <c r="Q226" i="19"/>
  <c r="R226" i="19"/>
  <c r="S226" i="19"/>
  <c r="T226" i="19"/>
  <c r="U226" i="19"/>
  <c r="V226" i="19"/>
  <c r="W226" i="19"/>
  <c r="B227" i="19"/>
  <c r="A227" i="19"/>
  <c r="C227" i="19"/>
  <c r="D227" i="19"/>
  <c r="E227" i="19"/>
  <c r="F227" i="19"/>
  <c r="G227" i="19"/>
  <c r="H227" i="19"/>
  <c r="I227" i="19"/>
  <c r="J227" i="19"/>
  <c r="K227" i="19"/>
  <c r="L227" i="19"/>
  <c r="N227" i="19"/>
  <c r="O227" i="19"/>
  <c r="P227" i="19"/>
  <c r="Q227" i="19"/>
  <c r="R227" i="19"/>
  <c r="S227" i="19"/>
  <c r="T227" i="19"/>
  <c r="U227" i="19"/>
  <c r="V227" i="19"/>
  <c r="W227" i="19"/>
  <c r="B228" i="19"/>
  <c r="A228" i="19"/>
  <c r="C228" i="19"/>
  <c r="D228" i="19"/>
  <c r="E228" i="19"/>
  <c r="F228" i="19"/>
  <c r="G228" i="19"/>
  <c r="H228" i="19"/>
  <c r="I228" i="19"/>
  <c r="J228" i="19"/>
  <c r="K228" i="19"/>
  <c r="L228" i="19"/>
  <c r="N228" i="19"/>
  <c r="O228" i="19"/>
  <c r="P228" i="19"/>
  <c r="Q228" i="19"/>
  <c r="R228" i="19"/>
  <c r="S228" i="19"/>
  <c r="T228" i="19"/>
  <c r="U228" i="19"/>
  <c r="V228" i="19"/>
  <c r="W228" i="19"/>
  <c r="B229" i="19"/>
  <c r="C229" i="19"/>
  <c r="D229" i="19"/>
  <c r="E229" i="19"/>
  <c r="F229" i="19"/>
  <c r="G229" i="19"/>
  <c r="H229" i="19"/>
  <c r="I229" i="19"/>
  <c r="J229" i="19"/>
  <c r="K229" i="19"/>
  <c r="L229" i="19"/>
  <c r="N229" i="19"/>
  <c r="O229" i="19"/>
  <c r="P229" i="19"/>
  <c r="Q229" i="19"/>
  <c r="R229" i="19"/>
  <c r="S229" i="19"/>
  <c r="T229" i="19"/>
  <c r="U229" i="19"/>
  <c r="V229" i="19"/>
  <c r="W229" i="19"/>
  <c r="C230" i="19"/>
  <c r="D230" i="19"/>
  <c r="E230" i="19"/>
  <c r="F230" i="19"/>
  <c r="G230" i="19"/>
  <c r="H230" i="19"/>
  <c r="I230" i="19"/>
  <c r="J230" i="19"/>
  <c r="K230" i="19"/>
  <c r="L230" i="19"/>
  <c r="B232" i="19"/>
  <c r="D232" i="19"/>
  <c r="E232" i="19"/>
  <c r="F232" i="19"/>
  <c r="G232" i="19"/>
  <c r="H232" i="19"/>
  <c r="I232" i="19"/>
  <c r="J232" i="19"/>
  <c r="K232" i="19"/>
  <c r="L232" i="19"/>
  <c r="N232" i="19"/>
  <c r="O232" i="19"/>
  <c r="P232" i="19"/>
  <c r="Q232" i="19"/>
  <c r="R232" i="19"/>
  <c r="S232" i="19"/>
  <c r="T232" i="19"/>
  <c r="U232" i="19"/>
  <c r="V232" i="19"/>
  <c r="W232" i="19"/>
  <c r="C233" i="19"/>
  <c r="D233" i="19"/>
  <c r="E233" i="19"/>
  <c r="F233" i="19"/>
  <c r="G233" i="19"/>
  <c r="H233" i="19"/>
  <c r="I233" i="19"/>
  <c r="J233" i="19"/>
  <c r="K233" i="19"/>
  <c r="L233" i="19"/>
  <c r="B236" i="19"/>
  <c r="A236" i="19"/>
  <c r="C236" i="19"/>
  <c r="D236" i="19"/>
  <c r="E236" i="19"/>
  <c r="F236" i="19"/>
  <c r="G236" i="19"/>
  <c r="H236" i="19"/>
  <c r="I236" i="19"/>
  <c r="J236" i="19"/>
  <c r="K236" i="19"/>
  <c r="L236" i="19"/>
  <c r="N236" i="19"/>
  <c r="O236" i="19"/>
  <c r="P236" i="19"/>
  <c r="Q236" i="19"/>
  <c r="R236" i="19"/>
  <c r="S236" i="19"/>
  <c r="T236" i="19"/>
  <c r="U236" i="19"/>
  <c r="V236" i="19"/>
  <c r="W236" i="19"/>
  <c r="B237" i="19"/>
  <c r="A237" i="19"/>
  <c r="C237" i="19"/>
  <c r="D237" i="19"/>
  <c r="E237" i="19"/>
  <c r="F237" i="19"/>
  <c r="G237" i="19"/>
  <c r="H237" i="19"/>
  <c r="I237" i="19"/>
  <c r="J237" i="19"/>
  <c r="K237" i="19"/>
  <c r="L237" i="19"/>
  <c r="N237" i="19"/>
  <c r="O237" i="19"/>
  <c r="P237" i="19"/>
  <c r="Q237" i="19"/>
  <c r="R237" i="19"/>
  <c r="S237" i="19"/>
  <c r="T237" i="19"/>
  <c r="U237" i="19"/>
  <c r="V237" i="19"/>
  <c r="W237" i="19"/>
  <c r="B238" i="19"/>
  <c r="A238" i="19"/>
  <c r="C238" i="19"/>
  <c r="D238" i="19"/>
  <c r="E238" i="19"/>
  <c r="F238" i="19"/>
  <c r="G238" i="19"/>
  <c r="H238" i="19"/>
  <c r="I238" i="19"/>
  <c r="J238" i="19"/>
  <c r="K238" i="19"/>
  <c r="L238" i="19"/>
  <c r="N238" i="19"/>
  <c r="O238" i="19"/>
  <c r="P238" i="19"/>
  <c r="Q238" i="19"/>
  <c r="R238" i="19"/>
  <c r="S238" i="19"/>
  <c r="T238" i="19"/>
  <c r="U238" i="19"/>
  <c r="V238" i="19"/>
  <c r="W238" i="19"/>
  <c r="B239" i="19"/>
  <c r="A239" i="19"/>
  <c r="C239" i="19"/>
  <c r="D239" i="19"/>
  <c r="E239" i="19"/>
  <c r="F239" i="19"/>
  <c r="G239" i="19"/>
  <c r="H239" i="19"/>
  <c r="I239" i="19"/>
  <c r="J239" i="19"/>
  <c r="K239" i="19"/>
  <c r="L239" i="19"/>
  <c r="N239" i="19"/>
  <c r="O239" i="19"/>
  <c r="P239" i="19"/>
  <c r="Q239" i="19"/>
  <c r="R239" i="19"/>
  <c r="S239" i="19"/>
  <c r="T239" i="19"/>
  <c r="U239" i="19"/>
  <c r="V239" i="19"/>
  <c r="W239" i="19"/>
  <c r="B240" i="19"/>
  <c r="A240" i="19"/>
  <c r="C240" i="19"/>
  <c r="D240" i="19"/>
  <c r="E240" i="19"/>
  <c r="F240" i="19"/>
  <c r="G240" i="19"/>
  <c r="H240" i="19"/>
  <c r="I240" i="19"/>
  <c r="J240" i="19"/>
  <c r="K240" i="19"/>
  <c r="L240" i="19"/>
  <c r="N240" i="19"/>
  <c r="O240" i="19"/>
  <c r="P240" i="19"/>
  <c r="Q240" i="19"/>
  <c r="R240" i="19"/>
  <c r="S240" i="19"/>
  <c r="T240" i="19"/>
  <c r="U240" i="19"/>
  <c r="V240" i="19"/>
  <c r="W240" i="19"/>
  <c r="B241" i="19"/>
  <c r="A241" i="19"/>
  <c r="C241" i="19"/>
  <c r="D241" i="19"/>
  <c r="E241" i="19"/>
  <c r="F241" i="19"/>
  <c r="G241" i="19"/>
  <c r="H241" i="19"/>
  <c r="I241" i="19"/>
  <c r="J241" i="19"/>
  <c r="K241" i="19"/>
  <c r="L241" i="19"/>
  <c r="N241" i="19"/>
  <c r="O241" i="19"/>
  <c r="P241" i="19"/>
  <c r="Q241" i="19"/>
  <c r="R241" i="19"/>
  <c r="S241" i="19"/>
  <c r="T241" i="19"/>
  <c r="U241" i="19"/>
  <c r="V241" i="19"/>
  <c r="W241" i="19"/>
  <c r="B242" i="19"/>
  <c r="A242" i="19"/>
  <c r="C242" i="19"/>
  <c r="D242" i="19"/>
  <c r="E242" i="19"/>
  <c r="F242" i="19"/>
  <c r="G242" i="19"/>
  <c r="H242" i="19"/>
  <c r="I242" i="19"/>
  <c r="J242" i="19"/>
  <c r="K242" i="19"/>
  <c r="L242" i="19"/>
  <c r="N242" i="19"/>
  <c r="O242" i="19"/>
  <c r="P242" i="19"/>
  <c r="Q242" i="19"/>
  <c r="R242" i="19"/>
  <c r="S242" i="19"/>
  <c r="T242" i="19"/>
  <c r="U242" i="19"/>
  <c r="V242" i="19"/>
  <c r="W242" i="19"/>
  <c r="B243" i="19"/>
  <c r="A243" i="19"/>
  <c r="C243" i="19"/>
  <c r="D243" i="19"/>
  <c r="E243" i="19"/>
  <c r="F243" i="19"/>
  <c r="G243" i="19"/>
  <c r="H243" i="19"/>
  <c r="I243" i="19"/>
  <c r="J243" i="19"/>
  <c r="K243" i="19"/>
  <c r="L243" i="19"/>
  <c r="N243" i="19"/>
  <c r="O243" i="19"/>
  <c r="P243" i="19"/>
  <c r="Q243" i="19"/>
  <c r="R243" i="19"/>
  <c r="S243" i="19"/>
  <c r="T243" i="19"/>
  <c r="U243" i="19"/>
  <c r="V243" i="19"/>
  <c r="W243" i="19"/>
  <c r="B244" i="19"/>
  <c r="A244" i="19"/>
  <c r="C244" i="19"/>
  <c r="D244" i="19"/>
  <c r="E244" i="19"/>
  <c r="F244" i="19"/>
  <c r="G244" i="19"/>
  <c r="H244" i="19"/>
  <c r="I244" i="19"/>
  <c r="J244" i="19"/>
  <c r="K244" i="19"/>
  <c r="L244" i="19"/>
  <c r="N244" i="19"/>
  <c r="O244" i="19"/>
  <c r="P244" i="19"/>
  <c r="Q244" i="19"/>
  <c r="R244" i="19"/>
  <c r="S244" i="19"/>
  <c r="T244" i="19"/>
  <c r="U244" i="19"/>
  <c r="V244" i="19"/>
  <c r="W244" i="19"/>
  <c r="B245" i="19"/>
  <c r="C245" i="19"/>
  <c r="D245" i="19"/>
  <c r="E245" i="19"/>
  <c r="F245" i="19"/>
  <c r="G245" i="19"/>
  <c r="H245" i="19"/>
  <c r="I245" i="19"/>
  <c r="J245" i="19"/>
  <c r="K245" i="19"/>
  <c r="L245" i="19"/>
  <c r="N245" i="19"/>
  <c r="O245" i="19"/>
  <c r="P245" i="19"/>
  <c r="Q245" i="19"/>
  <c r="R245" i="19"/>
  <c r="S245" i="19"/>
  <c r="T245" i="19"/>
  <c r="U245" i="19"/>
  <c r="V245" i="19"/>
  <c r="W245" i="19"/>
  <c r="C246" i="19"/>
  <c r="D246" i="19"/>
  <c r="E246" i="19"/>
  <c r="F246" i="19"/>
  <c r="G246" i="19"/>
  <c r="H246" i="19"/>
  <c r="I246" i="19"/>
  <c r="J246" i="19"/>
  <c r="K246" i="19"/>
  <c r="L246" i="19"/>
  <c r="B248" i="19"/>
  <c r="D248" i="19"/>
  <c r="E248" i="19"/>
  <c r="F248" i="19"/>
  <c r="G248" i="19"/>
  <c r="H248" i="19"/>
  <c r="I248" i="19"/>
  <c r="J248" i="19"/>
  <c r="K248" i="19"/>
  <c r="L248" i="19"/>
  <c r="N248" i="19"/>
  <c r="O248" i="19"/>
  <c r="P248" i="19"/>
  <c r="Q248" i="19"/>
  <c r="R248" i="19"/>
  <c r="S248" i="19"/>
  <c r="T248" i="19"/>
  <c r="U248" i="19"/>
  <c r="V248" i="19"/>
  <c r="W248" i="19"/>
  <c r="C249" i="19"/>
  <c r="D249" i="19"/>
  <c r="E249" i="19"/>
  <c r="F249" i="19"/>
  <c r="G249" i="19"/>
  <c r="H249" i="19"/>
  <c r="I249" i="19"/>
  <c r="J249" i="19"/>
  <c r="K249" i="19"/>
  <c r="L249" i="19"/>
  <c r="B252" i="19"/>
  <c r="A252" i="19"/>
  <c r="C252" i="19"/>
  <c r="D252" i="19"/>
  <c r="E252" i="19"/>
  <c r="F252" i="19"/>
  <c r="G252" i="19"/>
  <c r="H252" i="19"/>
  <c r="I252" i="19"/>
  <c r="J252" i="19"/>
  <c r="K252" i="19"/>
  <c r="L252" i="19"/>
  <c r="N252" i="19"/>
  <c r="O252" i="19"/>
  <c r="P252" i="19"/>
  <c r="Q252" i="19"/>
  <c r="R252" i="19"/>
  <c r="S252" i="19"/>
  <c r="T252" i="19"/>
  <c r="U252" i="19"/>
  <c r="V252" i="19"/>
  <c r="W252" i="19"/>
  <c r="B253" i="19"/>
  <c r="A253" i="19"/>
  <c r="C253" i="19"/>
  <c r="D253" i="19"/>
  <c r="E253" i="19"/>
  <c r="F253" i="19"/>
  <c r="G253" i="19"/>
  <c r="H253" i="19"/>
  <c r="I253" i="19"/>
  <c r="J253" i="19"/>
  <c r="K253" i="19"/>
  <c r="L253" i="19"/>
  <c r="N253" i="19"/>
  <c r="O253" i="19"/>
  <c r="P253" i="19"/>
  <c r="Q253" i="19"/>
  <c r="R253" i="19"/>
  <c r="S253" i="19"/>
  <c r="T253" i="19"/>
  <c r="U253" i="19"/>
  <c r="V253" i="19"/>
  <c r="W253" i="19"/>
  <c r="B254" i="19"/>
  <c r="A254" i="19"/>
  <c r="C254" i="19"/>
  <c r="D254" i="19"/>
  <c r="E254" i="19"/>
  <c r="F254" i="19"/>
  <c r="G254" i="19"/>
  <c r="H254" i="19"/>
  <c r="I254" i="19"/>
  <c r="J254" i="19"/>
  <c r="K254" i="19"/>
  <c r="L254" i="19"/>
  <c r="N254" i="19"/>
  <c r="O254" i="19"/>
  <c r="P254" i="19"/>
  <c r="Q254" i="19"/>
  <c r="R254" i="19"/>
  <c r="S254" i="19"/>
  <c r="T254" i="19"/>
  <c r="U254" i="19"/>
  <c r="V254" i="19"/>
  <c r="W254" i="19"/>
  <c r="B255" i="19"/>
  <c r="A255" i="19"/>
  <c r="C255" i="19"/>
  <c r="D255" i="19"/>
  <c r="E255" i="19"/>
  <c r="F255" i="19"/>
  <c r="G255" i="19"/>
  <c r="H255" i="19"/>
  <c r="I255" i="19"/>
  <c r="J255" i="19"/>
  <c r="K255" i="19"/>
  <c r="L255" i="19"/>
  <c r="N255" i="19"/>
  <c r="O255" i="19"/>
  <c r="P255" i="19"/>
  <c r="Q255" i="19"/>
  <c r="R255" i="19"/>
  <c r="S255" i="19"/>
  <c r="T255" i="19"/>
  <c r="U255" i="19"/>
  <c r="V255" i="19"/>
  <c r="W255" i="19"/>
  <c r="B256" i="19"/>
  <c r="A256" i="19"/>
  <c r="C256" i="19"/>
  <c r="D256" i="19"/>
  <c r="E256" i="19"/>
  <c r="F256" i="19"/>
  <c r="G256" i="19"/>
  <c r="H256" i="19"/>
  <c r="I256" i="19"/>
  <c r="J256" i="19"/>
  <c r="K256" i="19"/>
  <c r="L256" i="19"/>
  <c r="N256" i="19"/>
  <c r="O256" i="19"/>
  <c r="P256" i="19"/>
  <c r="Q256" i="19"/>
  <c r="R256" i="19"/>
  <c r="S256" i="19"/>
  <c r="T256" i="19"/>
  <c r="U256" i="19"/>
  <c r="V256" i="19"/>
  <c r="W256" i="19"/>
  <c r="B257" i="19"/>
  <c r="A257" i="19"/>
  <c r="C257" i="19"/>
  <c r="D257" i="19"/>
  <c r="E257" i="19"/>
  <c r="F257" i="19"/>
  <c r="G257" i="19"/>
  <c r="H257" i="19"/>
  <c r="I257" i="19"/>
  <c r="J257" i="19"/>
  <c r="K257" i="19"/>
  <c r="L257" i="19"/>
  <c r="N257" i="19"/>
  <c r="O257" i="19"/>
  <c r="P257" i="19"/>
  <c r="Q257" i="19"/>
  <c r="R257" i="19"/>
  <c r="S257" i="19"/>
  <c r="T257" i="19"/>
  <c r="U257" i="19"/>
  <c r="V257" i="19"/>
  <c r="W257" i="19"/>
  <c r="B258" i="19"/>
  <c r="A258" i="19"/>
  <c r="C258" i="19"/>
  <c r="D258" i="19"/>
  <c r="E258" i="19"/>
  <c r="F258" i="19"/>
  <c r="G258" i="19"/>
  <c r="H258" i="19"/>
  <c r="I258" i="19"/>
  <c r="J258" i="19"/>
  <c r="K258" i="19"/>
  <c r="L258" i="19"/>
  <c r="N258" i="19"/>
  <c r="O258" i="19"/>
  <c r="P258" i="19"/>
  <c r="Q258" i="19"/>
  <c r="R258" i="19"/>
  <c r="S258" i="19"/>
  <c r="T258" i="19"/>
  <c r="U258" i="19"/>
  <c r="V258" i="19"/>
  <c r="W258" i="19"/>
  <c r="B259" i="19"/>
  <c r="A259" i="19"/>
  <c r="C259" i="19"/>
  <c r="D259" i="19"/>
  <c r="E259" i="19"/>
  <c r="F259" i="19"/>
  <c r="G259" i="19"/>
  <c r="H259" i="19"/>
  <c r="I259" i="19"/>
  <c r="J259" i="19"/>
  <c r="K259" i="19"/>
  <c r="L259" i="19"/>
  <c r="N259" i="19"/>
  <c r="O259" i="19"/>
  <c r="P259" i="19"/>
  <c r="Q259" i="19"/>
  <c r="R259" i="19"/>
  <c r="S259" i="19"/>
  <c r="T259" i="19"/>
  <c r="U259" i="19"/>
  <c r="V259" i="19"/>
  <c r="W259" i="19"/>
  <c r="B260" i="19"/>
  <c r="A260" i="19"/>
  <c r="C260" i="19"/>
  <c r="D260" i="19"/>
  <c r="E260" i="19"/>
  <c r="F260" i="19"/>
  <c r="G260" i="19"/>
  <c r="H260" i="19"/>
  <c r="I260" i="19"/>
  <c r="J260" i="19"/>
  <c r="K260" i="19"/>
  <c r="L260" i="19"/>
  <c r="N260" i="19"/>
  <c r="O260" i="19"/>
  <c r="P260" i="19"/>
  <c r="Q260" i="19"/>
  <c r="R260" i="19"/>
  <c r="S260" i="19"/>
  <c r="T260" i="19"/>
  <c r="U260" i="19"/>
  <c r="V260" i="19"/>
  <c r="W260" i="19"/>
  <c r="B261" i="19"/>
  <c r="C261" i="19"/>
  <c r="D261" i="19"/>
  <c r="E261" i="19"/>
  <c r="F261" i="19"/>
  <c r="G261" i="19"/>
  <c r="H261" i="19"/>
  <c r="I261" i="19"/>
  <c r="J261" i="19"/>
  <c r="K261" i="19"/>
  <c r="L261" i="19"/>
  <c r="N261" i="19"/>
  <c r="O261" i="19"/>
  <c r="P261" i="19"/>
  <c r="Q261" i="19"/>
  <c r="R261" i="19"/>
  <c r="S261" i="19"/>
  <c r="T261" i="19"/>
  <c r="U261" i="19"/>
  <c r="V261" i="19"/>
  <c r="W261" i="19"/>
  <c r="C262" i="19"/>
  <c r="D262" i="19"/>
  <c r="E262" i="19"/>
  <c r="F262" i="19"/>
  <c r="G262" i="19"/>
  <c r="H262" i="19"/>
  <c r="I262" i="19"/>
  <c r="J262" i="19"/>
  <c r="K262" i="19"/>
  <c r="L262" i="19"/>
  <c r="B264" i="19"/>
  <c r="D264" i="19"/>
  <c r="E264" i="19"/>
  <c r="F264" i="19"/>
  <c r="G264" i="19"/>
  <c r="H264" i="19"/>
  <c r="I264" i="19"/>
  <c r="J264" i="19"/>
  <c r="K264" i="19"/>
  <c r="L264" i="19"/>
  <c r="N264" i="19"/>
  <c r="O264" i="19"/>
  <c r="P264" i="19"/>
  <c r="Q264" i="19"/>
  <c r="R264" i="19"/>
  <c r="S264" i="19"/>
  <c r="T264" i="19"/>
  <c r="U264" i="19"/>
  <c r="V264" i="19"/>
  <c r="W264" i="19"/>
  <c r="C265" i="19"/>
  <c r="D265" i="19"/>
  <c r="E265" i="19"/>
  <c r="F265" i="19"/>
  <c r="G265" i="19"/>
  <c r="H265" i="19"/>
  <c r="I265" i="19"/>
  <c r="J265" i="19"/>
  <c r="K265" i="19"/>
  <c r="L265" i="19"/>
  <c r="B268" i="19"/>
  <c r="A268" i="19"/>
  <c r="C268" i="19"/>
  <c r="D268" i="19"/>
  <c r="E268" i="19"/>
  <c r="F268" i="19"/>
  <c r="G268" i="19"/>
  <c r="H268" i="19"/>
  <c r="I268" i="19"/>
  <c r="J268" i="19"/>
  <c r="K268" i="19"/>
  <c r="L268" i="19"/>
  <c r="N268" i="19"/>
  <c r="O268" i="19"/>
  <c r="P268" i="19"/>
  <c r="Q268" i="19"/>
  <c r="R268" i="19"/>
  <c r="S268" i="19"/>
  <c r="T268" i="19"/>
  <c r="U268" i="19"/>
  <c r="V268" i="19"/>
  <c r="W268" i="19"/>
  <c r="B269" i="19"/>
  <c r="A269" i="19"/>
  <c r="C269" i="19"/>
  <c r="D269" i="19"/>
  <c r="E269" i="19"/>
  <c r="F269" i="19"/>
  <c r="G269" i="19"/>
  <c r="H269" i="19"/>
  <c r="I269" i="19"/>
  <c r="J269" i="19"/>
  <c r="K269" i="19"/>
  <c r="L269" i="19"/>
  <c r="N269" i="19"/>
  <c r="O269" i="19"/>
  <c r="P269" i="19"/>
  <c r="Q269" i="19"/>
  <c r="R269" i="19"/>
  <c r="S269" i="19"/>
  <c r="T269" i="19"/>
  <c r="U269" i="19"/>
  <c r="V269" i="19"/>
  <c r="W269" i="19"/>
  <c r="B270" i="19"/>
  <c r="A270" i="19"/>
  <c r="C270" i="19"/>
  <c r="D270" i="19"/>
  <c r="E270" i="19"/>
  <c r="F270" i="19"/>
  <c r="G270" i="19"/>
  <c r="H270" i="19"/>
  <c r="I270" i="19"/>
  <c r="J270" i="19"/>
  <c r="K270" i="19"/>
  <c r="L270" i="19"/>
  <c r="N270" i="19"/>
  <c r="O270" i="19"/>
  <c r="P270" i="19"/>
  <c r="Q270" i="19"/>
  <c r="R270" i="19"/>
  <c r="S270" i="19"/>
  <c r="T270" i="19"/>
  <c r="U270" i="19"/>
  <c r="V270" i="19"/>
  <c r="W270" i="19"/>
  <c r="B271" i="19"/>
  <c r="A271" i="19"/>
  <c r="C271" i="19"/>
  <c r="D271" i="19"/>
  <c r="E271" i="19"/>
  <c r="F271" i="19"/>
  <c r="G271" i="19"/>
  <c r="H271" i="19"/>
  <c r="I271" i="19"/>
  <c r="J271" i="19"/>
  <c r="K271" i="19"/>
  <c r="L271" i="19"/>
  <c r="N271" i="19"/>
  <c r="O271" i="19"/>
  <c r="P271" i="19"/>
  <c r="Q271" i="19"/>
  <c r="R271" i="19"/>
  <c r="S271" i="19"/>
  <c r="T271" i="19"/>
  <c r="U271" i="19"/>
  <c r="V271" i="19"/>
  <c r="W271" i="19"/>
  <c r="B272" i="19"/>
  <c r="A272" i="19"/>
  <c r="C272" i="19"/>
  <c r="D272" i="19"/>
  <c r="E272" i="19"/>
  <c r="F272" i="19"/>
  <c r="G272" i="19"/>
  <c r="H272" i="19"/>
  <c r="I272" i="19"/>
  <c r="J272" i="19"/>
  <c r="K272" i="19"/>
  <c r="L272" i="19"/>
  <c r="N272" i="19"/>
  <c r="O272" i="19"/>
  <c r="P272" i="19"/>
  <c r="Q272" i="19"/>
  <c r="R272" i="19"/>
  <c r="S272" i="19"/>
  <c r="T272" i="19"/>
  <c r="U272" i="19"/>
  <c r="V272" i="19"/>
  <c r="W272" i="19"/>
  <c r="B273" i="19"/>
  <c r="A273" i="19"/>
  <c r="C273" i="19"/>
  <c r="D273" i="19"/>
  <c r="E273" i="19"/>
  <c r="F273" i="19"/>
  <c r="G273" i="19"/>
  <c r="H273" i="19"/>
  <c r="I273" i="19"/>
  <c r="J273" i="19"/>
  <c r="K273" i="19"/>
  <c r="L273" i="19"/>
  <c r="N273" i="19"/>
  <c r="O273" i="19"/>
  <c r="P273" i="19"/>
  <c r="Q273" i="19"/>
  <c r="R273" i="19"/>
  <c r="S273" i="19"/>
  <c r="T273" i="19"/>
  <c r="U273" i="19"/>
  <c r="V273" i="19"/>
  <c r="W273" i="19"/>
  <c r="B274" i="19"/>
  <c r="A274" i="19"/>
  <c r="C274" i="19"/>
  <c r="D274" i="19"/>
  <c r="E274" i="19"/>
  <c r="F274" i="19"/>
  <c r="G274" i="19"/>
  <c r="H274" i="19"/>
  <c r="I274" i="19"/>
  <c r="J274" i="19"/>
  <c r="K274" i="19"/>
  <c r="L274" i="19"/>
  <c r="N274" i="19"/>
  <c r="O274" i="19"/>
  <c r="P274" i="19"/>
  <c r="Q274" i="19"/>
  <c r="R274" i="19"/>
  <c r="S274" i="19"/>
  <c r="T274" i="19"/>
  <c r="U274" i="19"/>
  <c r="V274" i="19"/>
  <c r="W274" i="19"/>
  <c r="B275" i="19"/>
  <c r="A275" i="19"/>
  <c r="C275" i="19"/>
  <c r="D275" i="19"/>
  <c r="E275" i="19"/>
  <c r="F275" i="19"/>
  <c r="G275" i="19"/>
  <c r="H275" i="19"/>
  <c r="I275" i="19"/>
  <c r="J275" i="19"/>
  <c r="K275" i="19"/>
  <c r="L275" i="19"/>
  <c r="N275" i="19"/>
  <c r="O275" i="19"/>
  <c r="P275" i="19"/>
  <c r="Q275" i="19"/>
  <c r="R275" i="19"/>
  <c r="S275" i="19"/>
  <c r="T275" i="19"/>
  <c r="U275" i="19"/>
  <c r="V275" i="19"/>
  <c r="W275" i="19"/>
  <c r="B276" i="19"/>
  <c r="A276" i="19"/>
  <c r="C276" i="19"/>
  <c r="D276" i="19"/>
  <c r="E276" i="19"/>
  <c r="F276" i="19"/>
  <c r="G276" i="19"/>
  <c r="H276" i="19"/>
  <c r="I276" i="19"/>
  <c r="J276" i="19"/>
  <c r="K276" i="19"/>
  <c r="L276" i="19"/>
  <c r="N276" i="19"/>
  <c r="O276" i="19"/>
  <c r="P276" i="19"/>
  <c r="Q276" i="19"/>
  <c r="R276" i="19"/>
  <c r="S276" i="19"/>
  <c r="T276" i="19"/>
  <c r="U276" i="19"/>
  <c r="V276" i="19"/>
  <c r="W276" i="19"/>
  <c r="B277" i="19"/>
  <c r="C277" i="19"/>
  <c r="D277" i="19"/>
  <c r="E277" i="19"/>
  <c r="F277" i="19"/>
  <c r="G277" i="19"/>
  <c r="H277" i="19"/>
  <c r="I277" i="19"/>
  <c r="J277" i="19"/>
  <c r="K277" i="19"/>
  <c r="L277" i="19"/>
  <c r="N277" i="19"/>
  <c r="O277" i="19"/>
  <c r="P277" i="19"/>
  <c r="Q277" i="19"/>
  <c r="R277" i="19"/>
  <c r="S277" i="19"/>
  <c r="T277" i="19"/>
  <c r="U277" i="19"/>
  <c r="V277" i="19"/>
  <c r="W277" i="19"/>
  <c r="C278" i="19"/>
  <c r="D278" i="19"/>
  <c r="E278" i="19"/>
  <c r="F278" i="19"/>
  <c r="G278" i="19"/>
  <c r="H278" i="19"/>
  <c r="I278" i="19"/>
  <c r="J278" i="19"/>
  <c r="K278" i="19"/>
  <c r="L278" i="19"/>
  <c r="B280" i="19"/>
  <c r="D280" i="19"/>
  <c r="E280" i="19"/>
  <c r="F280" i="19"/>
  <c r="G280" i="19"/>
  <c r="H280" i="19"/>
  <c r="I280" i="19"/>
  <c r="J280" i="19"/>
  <c r="K280" i="19"/>
  <c r="L280" i="19"/>
  <c r="N280" i="19"/>
  <c r="O280" i="19"/>
  <c r="P280" i="19"/>
  <c r="Q280" i="19"/>
  <c r="R280" i="19"/>
  <c r="S280" i="19"/>
  <c r="T280" i="19"/>
  <c r="U280" i="19"/>
  <c r="V280" i="19"/>
  <c r="W280" i="19"/>
  <c r="C281" i="19"/>
  <c r="D281" i="19"/>
  <c r="E281" i="19"/>
  <c r="F281" i="19"/>
  <c r="G281" i="19"/>
  <c r="H281" i="19"/>
  <c r="I281" i="19"/>
  <c r="J281" i="19"/>
  <c r="K281" i="19"/>
  <c r="L281" i="19"/>
  <c r="B284" i="19"/>
  <c r="A284" i="19"/>
  <c r="C284" i="19"/>
  <c r="D284" i="19"/>
  <c r="E284" i="19"/>
  <c r="F284" i="19"/>
  <c r="G284" i="19"/>
  <c r="H284" i="19"/>
  <c r="I284" i="19"/>
  <c r="J284" i="19"/>
  <c r="K284" i="19"/>
  <c r="L284" i="19"/>
  <c r="N284" i="19"/>
  <c r="O284" i="19"/>
  <c r="P284" i="19"/>
  <c r="Q284" i="19"/>
  <c r="R284" i="19"/>
  <c r="S284" i="19"/>
  <c r="T284" i="19"/>
  <c r="U284" i="19"/>
  <c r="V284" i="19"/>
  <c r="W284" i="19"/>
  <c r="B285" i="19"/>
  <c r="A285" i="19"/>
  <c r="C285" i="19"/>
  <c r="D285" i="19"/>
  <c r="E285" i="19"/>
  <c r="F285" i="19"/>
  <c r="G285" i="19"/>
  <c r="H285" i="19"/>
  <c r="I285" i="19"/>
  <c r="J285" i="19"/>
  <c r="K285" i="19"/>
  <c r="L285" i="19"/>
  <c r="N285" i="19"/>
  <c r="O285" i="19"/>
  <c r="P285" i="19"/>
  <c r="Q285" i="19"/>
  <c r="R285" i="19"/>
  <c r="S285" i="19"/>
  <c r="T285" i="19"/>
  <c r="U285" i="19"/>
  <c r="V285" i="19"/>
  <c r="W285" i="19"/>
  <c r="B286" i="19"/>
  <c r="A286" i="19"/>
  <c r="C286" i="19"/>
  <c r="D286" i="19"/>
  <c r="E286" i="19"/>
  <c r="F286" i="19"/>
  <c r="G286" i="19"/>
  <c r="H286" i="19"/>
  <c r="I286" i="19"/>
  <c r="J286" i="19"/>
  <c r="K286" i="19"/>
  <c r="L286" i="19"/>
  <c r="N286" i="19"/>
  <c r="O286" i="19"/>
  <c r="P286" i="19"/>
  <c r="Q286" i="19"/>
  <c r="R286" i="19"/>
  <c r="S286" i="19"/>
  <c r="T286" i="19"/>
  <c r="U286" i="19"/>
  <c r="V286" i="19"/>
  <c r="W286" i="19"/>
  <c r="B287" i="19"/>
  <c r="A287" i="19"/>
  <c r="C287" i="19"/>
  <c r="D287" i="19"/>
  <c r="E287" i="19"/>
  <c r="F287" i="19"/>
  <c r="G287" i="19"/>
  <c r="H287" i="19"/>
  <c r="I287" i="19"/>
  <c r="J287" i="19"/>
  <c r="K287" i="19"/>
  <c r="L287" i="19"/>
  <c r="N287" i="19"/>
  <c r="O287" i="19"/>
  <c r="P287" i="19"/>
  <c r="Q287" i="19"/>
  <c r="R287" i="19"/>
  <c r="S287" i="19"/>
  <c r="T287" i="19"/>
  <c r="U287" i="19"/>
  <c r="V287" i="19"/>
  <c r="W287" i="19"/>
  <c r="B288" i="19"/>
  <c r="A288" i="19"/>
  <c r="C288" i="19"/>
  <c r="D288" i="19"/>
  <c r="E288" i="19"/>
  <c r="F288" i="19"/>
  <c r="G288" i="19"/>
  <c r="H288" i="19"/>
  <c r="I288" i="19"/>
  <c r="J288" i="19"/>
  <c r="K288" i="19"/>
  <c r="L288" i="19"/>
  <c r="N288" i="19"/>
  <c r="O288" i="19"/>
  <c r="P288" i="19"/>
  <c r="Q288" i="19"/>
  <c r="R288" i="19"/>
  <c r="S288" i="19"/>
  <c r="T288" i="19"/>
  <c r="U288" i="19"/>
  <c r="V288" i="19"/>
  <c r="W288" i="19"/>
  <c r="B289" i="19"/>
  <c r="A289" i="19"/>
  <c r="C289" i="19"/>
  <c r="D289" i="19"/>
  <c r="E289" i="19"/>
  <c r="F289" i="19"/>
  <c r="G289" i="19"/>
  <c r="H289" i="19"/>
  <c r="I289" i="19"/>
  <c r="J289" i="19"/>
  <c r="K289" i="19"/>
  <c r="L289" i="19"/>
  <c r="N289" i="19"/>
  <c r="O289" i="19"/>
  <c r="P289" i="19"/>
  <c r="Q289" i="19"/>
  <c r="R289" i="19"/>
  <c r="S289" i="19"/>
  <c r="T289" i="19"/>
  <c r="U289" i="19"/>
  <c r="V289" i="19"/>
  <c r="W289" i="19"/>
  <c r="B290" i="19"/>
  <c r="A290" i="19"/>
  <c r="C290" i="19"/>
  <c r="D290" i="19"/>
  <c r="E290" i="19"/>
  <c r="F290" i="19"/>
  <c r="G290" i="19"/>
  <c r="H290" i="19"/>
  <c r="I290" i="19"/>
  <c r="J290" i="19"/>
  <c r="K290" i="19"/>
  <c r="L290" i="19"/>
  <c r="N290" i="19"/>
  <c r="O290" i="19"/>
  <c r="P290" i="19"/>
  <c r="Q290" i="19"/>
  <c r="R290" i="19"/>
  <c r="S290" i="19"/>
  <c r="T290" i="19"/>
  <c r="U290" i="19"/>
  <c r="V290" i="19"/>
  <c r="W290" i="19"/>
  <c r="B291" i="19"/>
  <c r="A291" i="19"/>
  <c r="C291" i="19"/>
  <c r="D291" i="19"/>
  <c r="E291" i="19"/>
  <c r="F291" i="19"/>
  <c r="G291" i="19"/>
  <c r="H291" i="19"/>
  <c r="I291" i="19"/>
  <c r="J291" i="19"/>
  <c r="K291" i="19"/>
  <c r="L291" i="19"/>
  <c r="N291" i="19"/>
  <c r="O291" i="19"/>
  <c r="P291" i="19"/>
  <c r="Q291" i="19"/>
  <c r="R291" i="19"/>
  <c r="S291" i="19"/>
  <c r="T291" i="19"/>
  <c r="U291" i="19"/>
  <c r="V291" i="19"/>
  <c r="W291" i="19"/>
  <c r="B292" i="19"/>
  <c r="A292" i="19"/>
  <c r="C292" i="19"/>
  <c r="D292" i="19"/>
  <c r="E292" i="19"/>
  <c r="F292" i="19"/>
  <c r="G292" i="19"/>
  <c r="H292" i="19"/>
  <c r="I292" i="19"/>
  <c r="J292" i="19"/>
  <c r="K292" i="19"/>
  <c r="L292" i="19"/>
  <c r="N292" i="19"/>
  <c r="O292" i="19"/>
  <c r="P292" i="19"/>
  <c r="Q292" i="19"/>
  <c r="R292" i="19"/>
  <c r="S292" i="19"/>
  <c r="T292" i="19"/>
  <c r="U292" i="19"/>
  <c r="V292" i="19"/>
  <c r="W292" i="19"/>
  <c r="B293" i="19"/>
  <c r="C293" i="19"/>
  <c r="D293" i="19"/>
  <c r="E293" i="19"/>
  <c r="F293" i="19"/>
  <c r="G293" i="19"/>
  <c r="H293" i="19"/>
  <c r="I293" i="19"/>
  <c r="J293" i="19"/>
  <c r="K293" i="19"/>
  <c r="L293" i="19"/>
  <c r="N293" i="19"/>
  <c r="O293" i="19"/>
  <c r="P293" i="19"/>
  <c r="Q293" i="19"/>
  <c r="R293" i="19"/>
  <c r="S293" i="19"/>
  <c r="T293" i="19"/>
  <c r="U293" i="19"/>
  <c r="V293" i="19"/>
  <c r="W293" i="19"/>
  <c r="C294" i="19"/>
  <c r="D294" i="19"/>
  <c r="E294" i="19"/>
  <c r="F294" i="19"/>
  <c r="G294" i="19"/>
  <c r="H294" i="19"/>
  <c r="I294" i="19"/>
  <c r="J294" i="19"/>
  <c r="K294" i="19"/>
  <c r="L294" i="19"/>
  <c r="B296" i="19"/>
  <c r="D296" i="19"/>
  <c r="E296" i="19"/>
  <c r="F296" i="19"/>
  <c r="G296" i="19"/>
  <c r="H296" i="19"/>
  <c r="I296" i="19"/>
  <c r="J296" i="19"/>
  <c r="K296" i="19"/>
  <c r="L296" i="19"/>
  <c r="N296" i="19"/>
  <c r="O296" i="19"/>
  <c r="P296" i="19"/>
  <c r="Q296" i="19"/>
  <c r="R296" i="19"/>
  <c r="S296" i="19"/>
  <c r="T296" i="19"/>
  <c r="U296" i="19"/>
  <c r="V296" i="19"/>
  <c r="W296" i="19"/>
  <c r="C297" i="19"/>
  <c r="D297" i="19"/>
  <c r="E297" i="19"/>
  <c r="F297" i="19"/>
  <c r="G297" i="19"/>
  <c r="H297" i="19"/>
  <c r="I297" i="19"/>
  <c r="J297" i="19"/>
  <c r="K297" i="19"/>
  <c r="L297" i="19"/>
  <c r="B300" i="19"/>
  <c r="A300" i="19"/>
  <c r="C300" i="19"/>
  <c r="D300" i="19"/>
  <c r="E300" i="19"/>
  <c r="F300" i="19"/>
  <c r="G300" i="19"/>
  <c r="H300" i="19"/>
  <c r="I300" i="19"/>
  <c r="J300" i="19"/>
  <c r="K300" i="19"/>
  <c r="L300" i="19"/>
  <c r="N300" i="19"/>
  <c r="O300" i="19"/>
  <c r="P300" i="19"/>
  <c r="Q300" i="19"/>
  <c r="R300" i="19"/>
  <c r="S300" i="19"/>
  <c r="T300" i="19"/>
  <c r="U300" i="19"/>
  <c r="V300" i="19"/>
  <c r="W300" i="19"/>
  <c r="B301" i="19"/>
  <c r="A301" i="19"/>
  <c r="C301" i="19"/>
  <c r="D301" i="19"/>
  <c r="E301" i="19"/>
  <c r="F301" i="19"/>
  <c r="G301" i="19"/>
  <c r="H301" i="19"/>
  <c r="I301" i="19"/>
  <c r="J301" i="19"/>
  <c r="K301" i="19"/>
  <c r="L301" i="19"/>
  <c r="N301" i="19"/>
  <c r="O301" i="19"/>
  <c r="P301" i="19"/>
  <c r="Q301" i="19"/>
  <c r="R301" i="19"/>
  <c r="S301" i="19"/>
  <c r="T301" i="19"/>
  <c r="U301" i="19"/>
  <c r="V301" i="19"/>
  <c r="W301" i="19"/>
  <c r="B302" i="19"/>
  <c r="A302" i="19"/>
  <c r="C302" i="19"/>
  <c r="D302" i="19"/>
  <c r="E302" i="19"/>
  <c r="F302" i="19"/>
  <c r="G302" i="19"/>
  <c r="H302" i="19"/>
  <c r="I302" i="19"/>
  <c r="J302" i="19"/>
  <c r="K302" i="19"/>
  <c r="L302" i="19"/>
  <c r="N302" i="19"/>
  <c r="O302" i="19"/>
  <c r="P302" i="19"/>
  <c r="Q302" i="19"/>
  <c r="R302" i="19"/>
  <c r="S302" i="19"/>
  <c r="T302" i="19"/>
  <c r="U302" i="19"/>
  <c r="V302" i="19"/>
  <c r="W302" i="19"/>
  <c r="B303" i="19"/>
  <c r="A303" i="19"/>
  <c r="C303" i="19"/>
  <c r="D303" i="19"/>
  <c r="E303" i="19"/>
  <c r="F303" i="19"/>
  <c r="G303" i="19"/>
  <c r="H303" i="19"/>
  <c r="I303" i="19"/>
  <c r="J303" i="19"/>
  <c r="K303" i="19"/>
  <c r="L303" i="19"/>
  <c r="N303" i="19"/>
  <c r="O303" i="19"/>
  <c r="P303" i="19"/>
  <c r="Q303" i="19"/>
  <c r="R303" i="19"/>
  <c r="S303" i="19"/>
  <c r="T303" i="19"/>
  <c r="U303" i="19"/>
  <c r="V303" i="19"/>
  <c r="W303" i="19"/>
  <c r="B304" i="19"/>
  <c r="A304" i="19"/>
  <c r="C304" i="19"/>
  <c r="D304" i="19"/>
  <c r="E304" i="19"/>
  <c r="F304" i="19"/>
  <c r="G304" i="19"/>
  <c r="H304" i="19"/>
  <c r="I304" i="19"/>
  <c r="J304" i="19"/>
  <c r="K304" i="19"/>
  <c r="L304" i="19"/>
  <c r="N304" i="19"/>
  <c r="O304" i="19"/>
  <c r="P304" i="19"/>
  <c r="Q304" i="19"/>
  <c r="R304" i="19"/>
  <c r="S304" i="19"/>
  <c r="T304" i="19"/>
  <c r="U304" i="19"/>
  <c r="V304" i="19"/>
  <c r="W304" i="19"/>
  <c r="B305" i="19"/>
  <c r="A305" i="19"/>
  <c r="C305" i="19"/>
  <c r="D305" i="19"/>
  <c r="E305" i="19"/>
  <c r="F305" i="19"/>
  <c r="G305" i="19"/>
  <c r="H305" i="19"/>
  <c r="I305" i="19"/>
  <c r="J305" i="19"/>
  <c r="K305" i="19"/>
  <c r="L305" i="19"/>
  <c r="N305" i="19"/>
  <c r="O305" i="19"/>
  <c r="P305" i="19"/>
  <c r="Q305" i="19"/>
  <c r="R305" i="19"/>
  <c r="S305" i="19"/>
  <c r="T305" i="19"/>
  <c r="U305" i="19"/>
  <c r="V305" i="19"/>
  <c r="W305" i="19"/>
  <c r="B306" i="19"/>
  <c r="A306" i="19"/>
  <c r="C306" i="19"/>
  <c r="D306" i="19"/>
  <c r="E306" i="19"/>
  <c r="F306" i="19"/>
  <c r="G306" i="19"/>
  <c r="H306" i="19"/>
  <c r="I306" i="19"/>
  <c r="J306" i="19"/>
  <c r="K306" i="19"/>
  <c r="L306" i="19"/>
  <c r="N306" i="19"/>
  <c r="O306" i="19"/>
  <c r="P306" i="19"/>
  <c r="Q306" i="19"/>
  <c r="R306" i="19"/>
  <c r="S306" i="19"/>
  <c r="T306" i="19"/>
  <c r="U306" i="19"/>
  <c r="V306" i="19"/>
  <c r="W306" i="19"/>
  <c r="B307" i="19"/>
  <c r="A307" i="19"/>
  <c r="C307" i="19"/>
  <c r="D307" i="19"/>
  <c r="E307" i="19"/>
  <c r="F307" i="19"/>
  <c r="G307" i="19"/>
  <c r="H307" i="19"/>
  <c r="I307" i="19"/>
  <c r="J307" i="19"/>
  <c r="K307" i="19"/>
  <c r="L307" i="19"/>
  <c r="N307" i="19"/>
  <c r="O307" i="19"/>
  <c r="P307" i="19"/>
  <c r="Q307" i="19"/>
  <c r="R307" i="19"/>
  <c r="S307" i="19"/>
  <c r="T307" i="19"/>
  <c r="U307" i="19"/>
  <c r="V307" i="19"/>
  <c r="W307" i="19"/>
  <c r="B308" i="19"/>
  <c r="A308" i="19"/>
  <c r="C308" i="19"/>
  <c r="D308" i="19"/>
  <c r="E308" i="19"/>
  <c r="F308" i="19"/>
  <c r="G308" i="19"/>
  <c r="H308" i="19"/>
  <c r="I308" i="19"/>
  <c r="J308" i="19"/>
  <c r="K308" i="19"/>
  <c r="L308" i="19"/>
  <c r="N308" i="19"/>
  <c r="O308" i="19"/>
  <c r="P308" i="19"/>
  <c r="Q308" i="19"/>
  <c r="R308" i="19"/>
  <c r="S308" i="19"/>
  <c r="T308" i="19"/>
  <c r="U308" i="19"/>
  <c r="V308" i="19"/>
  <c r="W308" i="19"/>
  <c r="B309" i="19"/>
  <c r="C309" i="19"/>
  <c r="D309" i="19"/>
  <c r="E309" i="19"/>
  <c r="F309" i="19"/>
  <c r="G309" i="19"/>
  <c r="H309" i="19"/>
  <c r="I309" i="19"/>
  <c r="J309" i="19"/>
  <c r="K309" i="19"/>
  <c r="L309" i="19"/>
  <c r="N309" i="19"/>
  <c r="O309" i="19"/>
  <c r="P309" i="19"/>
  <c r="Q309" i="19"/>
  <c r="R309" i="19"/>
  <c r="S309" i="19"/>
  <c r="T309" i="19"/>
  <c r="U309" i="19"/>
  <c r="V309" i="19"/>
  <c r="W309" i="19"/>
  <c r="C310" i="19"/>
  <c r="D310" i="19"/>
  <c r="E310" i="19"/>
  <c r="F310" i="19"/>
  <c r="G310" i="19"/>
  <c r="H310" i="19"/>
  <c r="I310" i="19"/>
  <c r="J310" i="19"/>
  <c r="K310" i="19"/>
  <c r="L310" i="19"/>
  <c r="B312" i="19"/>
  <c r="D312" i="19"/>
  <c r="E312" i="19"/>
  <c r="F312" i="19"/>
  <c r="G312" i="19"/>
  <c r="H312" i="19"/>
  <c r="I312" i="19"/>
  <c r="J312" i="19"/>
  <c r="K312" i="19"/>
  <c r="L312" i="19"/>
  <c r="N312" i="19"/>
  <c r="O312" i="19"/>
  <c r="P312" i="19"/>
  <c r="Q312" i="19"/>
  <c r="R312" i="19"/>
  <c r="S312" i="19"/>
  <c r="T312" i="19"/>
  <c r="U312" i="19"/>
  <c r="V312" i="19"/>
  <c r="W312" i="19"/>
  <c r="C313" i="19"/>
  <c r="D313" i="19"/>
  <c r="E313" i="19"/>
  <c r="F313" i="19"/>
  <c r="G313" i="19"/>
  <c r="H313" i="19"/>
  <c r="I313" i="19"/>
  <c r="J313" i="19"/>
  <c r="K313" i="19"/>
  <c r="L313" i="19"/>
  <c r="B316" i="19"/>
  <c r="A316" i="19"/>
  <c r="C316" i="19"/>
  <c r="D316" i="19"/>
  <c r="E316" i="19"/>
  <c r="F316" i="19"/>
  <c r="G316" i="19"/>
  <c r="H316" i="19"/>
  <c r="I316" i="19"/>
  <c r="J316" i="19"/>
  <c r="K316" i="19"/>
  <c r="L316" i="19"/>
  <c r="N316" i="19"/>
  <c r="O316" i="19"/>
  <c r="P316" i="19"/>
  <c r="Q316" i="19"/>
  <c r="R316" i="19"/>
  <c r="S316" i="19"/>
  <c r="T316" i="19"/>
  <c r="U316" i="19"/>
  <c r="V316" i="19"/>
  <c r="W316" i="19"/>
  <c r="B317" i="19"/>
  <c r="A317" i="19"/>
  <c r="C317" i="19"/>
  <c r="D317" i="19"/>
  <c r="E317" i="19"/>
  <c r="F317" i="19"/>
  <c r="G317" i="19"/>
  <c r="H317" i="19"/>
  <c r="I317" i="19"/>
  <c r="J317" i="19"/>
  <c r="K317" i="19"/>
  <c r="L317" i="19"/>
  <c r="N317" i="19"/>
  <c r="O317" i="19"/>
  <c r="P317" i="19"/>
  <c r="Q317" i="19"/>
  <c r="R317" i="19"/>
  <c r="S317" i="19"/>
  <c r="T317" i="19"/>
  <c r="U317" i="19"/>
  <c r="V317" i="19"/>
  <c r="W317" i="19"/>
  <c r="B318" i="19"/>
  <c r="A318" i="19"/>
  <c r="C318" i="19"/>
  <c r="D318" i="19"/>
  <c r="E318" i="19"/>
  <c r="F318" i="19"/>
  <c r="G318" i="19"/>
  <c r="H318" i="19"/>
  <c r="I318" i="19"/>
  <c r="J318" i="19"/>
  <c r="K318" i="19"/>
  <c r="L318" i="19"/>
  <c r="N318" i="19"/>
  <c r="O318" i="19"/>
  <c r="P318" i="19"/>
  <c r="Q318" i="19"/>
  <c r="R318" i="19"/>
  <c r="S318" i="19"/>
  <c r="T318" i="19"/>
  <c r="U318" i="19"/>
  <c r="V318" i="19"/>
  <c r="W318" i="19"/>
  <c r="B319" i="19"/>
  <c r="A319" i="19"/>
  <c r="C319" i="19"/>
  <c r="D319" i="19"/>
  <c r="E319" i="19"/>
  <c r="F319" i="19"/>
  <c r="G319" i="19"/>
  <c r="H319" i="19"/>
  <c r="I319" i="19"/>
  <c r="J319" i="19"/>
  <c r="K319" i="19"/>
  <c r="L319" i="19"/>
  <c r="N319" i="19"/>
  <c r="O319" i="19"/>
  <c r="P319" i="19"/>
  <c r="Q319" i="19"/>
  <c r="R319" i="19"/>
  <c r="S319" i="19"/>
  <c r="T319" i="19"/>
  <c r="U319" i="19"/>
  <c r="V319" i="19"/>
  <c r="W319" i="19"/>
  <c r="B320" i="19"/>
  <c r="A320" i="19"/>
  <c r="C320" i="19"/>
  <c r="D320" i="19"/>
  <c r="E320" i="19"/>
  <c r="F320" i="19"/>
  <c r="G320" i="19"/>
  <c r="H320" i="19"/>
  <c r="I320" i="19"/>
  <c r="J320" i="19"/>
  <c r="K320" i="19"/>
  <c r="L320" i="19"/>
  <c r="N320" i="19"/>
  <c r="O320" i="19"/>
  <c r="P320" i="19"/>
  <c r="Q320" i="19"/>
  <c r="R320" i="19"/>
  <c r="S320" i="19"/>
  <c r="T320" i="19"/>
  <c r="U320" i="19"/>
  <c r="V320" i="19"/>
  <c r="W320" i="19"/>
  <c r="B321" i="19"/>
  <c r="A321" i="19"/>
  <c r="C321" i="19"/>
  <c r="D321" i="19"/>
  <c r="E321" i="19"/>
  <c r="F321" i="19"/>
  <c r="G321" i="19"/>
  <c r="H321" i="19"/>
  <c r="I321" i="19"/>
  <c r="J321" i="19"/>
  <c r="K321" i="19"/>
  <c r="L321" i="19"/>
  <c r="N321" i="19"/>
  <c r="O321" i="19"/>
  <c r="P321" i="19"/>
  <c r="Q321" i="19"/>
  <c r="R321" i="19"/>
  <c r="S321" i="19"/>
  <c r="T321" i="19"/>
  <c r="U321" i="19"/>
  <c r="V321" i="19"/>
  <c r="W321" i="19"/>
  <c r="B322" i="19"/>
  <c r="A322" i="19"/>
  <c r="C322" i="19"/>
  <c r="D322" i="19"/>
  <c r="E322" i="19"/>
  <c r="F322" i="19"/>
  <c r="G322" i="19"/>
  <c r="H322" i="19"/>
  <c r="I322" i="19"/>
  <c r="J322" i="19"/>
  <c r="K322" i="19"/>
  <c r="L322" i="19"/>
  <c r="N322" i="19"/>
  <c r="O322" i="19"/>
  <c r="P322" i="19"/>
  <c r="Q322" i="19"/>
  <c r="R322" i="19"/>
  <c r="S322" i="19"/>
  <c r="T322" i="19"/>
  <c r="U322" i="19"/>
  <c r="V322" i="19"/>
  <c r="W322" i="19"/>
  <c r="B323" i="19"/>
  <c r="A323" i="19"/>
  <c r="C323" i="19"/>
  <c r="D323" i="19"/>
  <c r="E323" i="19"/>
  <c r="F323" i="19"/>
  <c r="G323" i="19"/>
  <c r="H323" i="19"/>
  <c r="I323" i="19"/>
  <c r="J323" i="19"/>
  <c r="K323" i="19"/>
  <c r="L323" i="19"/>
  <c r="N323" i="19"/>
  <c r="O323" i="19"/>
  <c r="P323" i="19"/>
  <c r="Q323" i="19"/>
  <c r="R323" i="19"/>
  <c r="S323" i="19"/>
  <c r="T323" i="19"/>
  <c r="U323" i="19"/>
  <c r="V323" i="19"/>
  <c r="W323" i="19"/>
  <c r="B324" i="19"/>
  <c r="A324" i="19"/>
  <c r="C324" i="19"/>
  <c r="D324" i="19"/>
  <c r="E324" i="19"/>
  <c r="F324" i="19"/>
  <c r="G324" i="19"/>
  <c r="H324" i="19"/>
  <c r="I324" i="19"/>
  <c r="J324" i="19"/>
  <c r="K324" i="19"/>
  <c r="L324" i="19"/>
  <c r="N324" i="19"/>
  <c r="O324" i="19"/>
  <c r="P324" i="19"/>
  <c r="Q324" i="19"/>
  <c r="R324" i="19"/>
  <c r="S324" i="19"/>
  <c r="T324" i="19"/>
  <c r="U324" i="19"/>
  <c r="V324" i="19"/>
  <c r="W324" i="19"/>
  <c r="B325" i="19"/>
  <c r="C325" i="19"/>
  <c r="D325" i="19"/>
  <c r="E325" i="19"/>
  <c r="F325" i="19"/>
  <c r="G325" i="19"/>
  <c r="H325" i="19"/>
  <c r="I325" i="19"/>
  <c r="J325" i="19"/>
  <c r="K325" i="19"/>
  <c r="L325" i="19"/>
  <c r="N325" i="19"/>
  <c r="O325" i="19"/>
  <c r="P325" i="19"/>
  <c r="Q325" i="19"/>
  <c r="R325" i="19"/>
  <c r="S325" i="19"/>
  <c r="T325" i="19"/>
  <c r="U325" i="19"/>
  <c r="V325" i="19"/>
  <c r="W325" i="19"/>
  <c r="C326" i="19"/>
  <c r="D326" i="19"/>
  <c r="E326" i="19"/>
  <c r="F326" i="19"/>
  <c r="G326" i="19"/>
  <c r="H326" i="19"/>
  <c r="I326" i="19"/>
  <c r="J326" i="19"/>
  <c r="K326" i="19"/>
  <c r="L326" i="19"/>
  <c r="B328" i="19"/>
  <c r="D328" i="19"/>
  <c r="E328" i="19"/>
  <c r="F328" i="19"/>
  <c r="G328" i="19"/>
  <c r="H328" i="19"/>
  <c r="I328" i="19"/>
  <c r="J328" i="19"/>
  <c r="K328" i="19"/>
  <c r="L328" i="19"/>
  <c r="N328" i="19"/>
  <c r="O328" i="19"/>
  <c r="P328" i="19"/>
  <c r="Q328" i="19"/>
  <c r="R328" i="19"/>
  <c r="S328" i="19"/>
  <c r="T328" i="19"/>
  <c r="U328" i="19"/>
  <c r="V328" i="19"/>
  <c r="W328" i="19"/>
  <c r="C329" i="19"/>
  <c r="D329" i="19"/>
  <c r="E329" i="19"/>
  <c r="F329" i="19"/>
  <c r="G329" i="19"/>
  <c r="H329" i="19"/>
  <c r="I329" i="19"/>
  <c r="J329" i="19"/>
  <c r="K329" i="19"/>
  <c r="L329" i="19"/>
  <c r="B332" i="19"/>
  <c r="A332" i="19"/>
  <c r="C332" i="19"/>
  <c r="D332" i="19"/>
  <c r="E332" i="19"/>
  <c r="F332" i="19"/>
  <c r="G332" i="19"/>
  <c r="H332" i="19"/>
  <c r="I332" i="19"/>
  <c r="J332" i="19"/>
  <c r="K332" i="19"/>
  <c r="L332" i="19"/>
  <c r="N332" i="19"/>
  <c r="O332" i="19"/>
  <c r="P332" i="19"/>
  <c r="Q332" i="19"/>
  <c r="R332" i="19"/>
  <c r="S332" i="19"/>
  <c r="T332" i="19"/>
  <c r="U332" i="19"/>
  <c r="V332" i="19"/>
  <c r="W332" i="19"/>
  <c r="B333" i="19"/>
  <c r="A333" i="19"/>
  <c r="C333" i="19"/>
  <c r="D333" i="19"/>
  <c r="E333" i="19"/>
  <c r="F333" i="19"/>
  <c r="G333" i="19"/>
  <c r="H333" i="19"/>
  <c r="I333" i="19"/>
  <c r="J333" i="19"/>
  <c r="K333" i="19"/>
  <c r="L333" i="19"/>
  <c r="N333" i="19"/>
  <c r="O333" i="19"/>
  <c r="P333" i="19"/>
  <c r="Q333" i="19"/>
  <c r="R333" i="19"/>
  <c r="S333" i="19"/>
  <c r="T333" i="19"/>
  <c r="U333" i="19"/>
  <c r="V333" i="19"/>
  <c r="W333" i="19"/>
  <c r="B334" i="19"/>
  <c r="A334" i="19"/>
  <c r="C334" i="19"/>
  <c r="D334" i="19"/>
  <c r="E334" i="19"/>
  <c r="F334" i="19"/>
  <c r="G334" i="19"/>
  <c r="H334" i="19"/>
  <c r="I334" i="19"/>
  <c r="J334" i="19"/>
  <c r="K334" i="19"/>
  <c r="L334" i="19"/>
  <c r="N334" i="19"/>
  <c r="O334" i="19"/>
  <c r="P334" i="19"/>
  <c r="Q334" i="19"/>
  <c r="R334" i="19"/>
  <c r="S334" i="19"/>
  <c r="T334" i="19"/>
  <c r="U334" i="19"/>
  <c r="V334" i="19"/>
  <c r="W334" i="19"/>
  <c r="B335" i="19"/>
  <c r="A335" i="19"/>
  <c r="C335" i="19"/>
  <c r="D335" i="19"/>
  <c r="E335" i="19"/>
  <c r="F335" i="19"/>
  <c r="G335" i="19"/>
  <c r="H335" i="19"/>
  <c r="I335" i="19"/>
  <c r="J335" i="19"/>
  <c r="K335" i="19"/>
  <c r="L335" i="19"/>
  <c r="N335" i="19"/>
  <c r="O335" i="19"/>
  <c r="P335" i="19"/>
  <c r="Q335" i="19"/>
  <c r="R335" i="19"/>
  <c r="S335" i="19"/>
  <c r="T335" i="19"/>
  <c r="U335" i="19"/>
  <c r="V335" i="19"/>
  <c r="W335" i="19"/>
  <c r="B336" i="19"/>
  <c r="A336" i="19"/>
  <c r="C336" i="19"/>
  <c r="D336" i="19"/>
  <c r="E336" i="19"/>
  <c r="F336" i="19"/>
  <c r="G336" i="19"/>
  <c r="H336" i="19"/>
  <c r="I336" i="19"/>
  <c r="J336" i="19"/>
  <c r="K336" i="19"/>
  <c r="L336" i="19"/>
  <c r="N336" i="19"/>
  <c r="O336" i="19"/>
  <c r="P336" i="19"/>
  <c r="Q336" i="19"/>
  <c r="R336" i="19"/>
  <c r="S336" i="19"/>
  <c r="T336" i="19"/>
  <c r="U336" i="19"/>
  <c r="V336" i="19"/>
  <c r="W336" i="19"/>
  <c r="B337" i="19"/>
  <c r="A337" i="19"/>
  <c r="C337" i="19"/>
  <c r="D337" i="19"/>
  <c r="E337" i="19"/>
  <c r="F337" i="19"/>
  <c r="G337" i="19"/>
  <c r="H337" i="19"/>
  <c r="I337" i="19"/>
  <c r="J337" i="19"/>
  <c r="K337" i="19"/>
  <c r="L337" i="19"/>
  <c r="N337" i="19"/>
  <c r="O337" i="19"/>
  <c r="P337" i="19"/>
  <c r="Q337" i="19"/>
  <c r="R337" i="19"/>
  <c r="S337" i="19"/>
  <c r="T337" i="19"/>
  <c r="U337" i="19"/>
  <c r="V337" i="19"/>
  <c r="W337" i="19"/>
  <c r="B338" i="19"/>
  <c r="A338" i="19"/>
  <c r="C338" i="19"/>
  <c r="D338" i="19"/>
  <c r="E338" i="19"/>
  <c r="F338" i="19"/>
  <c r="G338" i="19"/>
  <c r="H338" i="19"/>
  <c r="I338" i="19"/>
  <c r="J338" i="19"/>
  <c r="K338" i="19"/>
  <c r="L338" i="19"/>
  <c r="N338" i="19"/>
  <c r="O338" i="19"/>
  <c r="P338" i="19"/>
  <c r="Q338" i="19"/>
  <c r="R338" i="19"/>
  <c r="S338" i="19"/>
  <c r="T338" i="19"/>
  <c r="U338" i="19"/>
  <c r="V338" i="19"/>
  <c r="W338" i="19"/>
  <c r="B339" i="19"/>
  <c r="A339" i="19"/>
  <c r="C339" i="19"/>
  <c r="D339" i="19"/>
  <c r="E339" i="19"/>
  <c r="F339" i="19"/>
  <c r="G339" i="19"/>
  <c r="H339" i="19"/>
  <c r="I339" i="19"/>
  <c r="J339" i="19"/>
  <c r="K339" i="19"/>
  <c r="L339" i="19"/>
  <c r="N339" i="19"/>
  <c r="O339" i="19"/>
  <c r="P339" i="19"/>
  <c r="Q339" i="19"/>
  <c r="R339" i="19"/>
  <c r="S339" i="19"/>
  <c r="T339" i="19"/>
  <c r="U339" i="19"/>
  <c r="V339" i="19"/>
  <c r="W339" i="19"/>
  <c r="B340" i="19"/>
  <c r="A340" i="19"/>
  <c r="C340" i="19"/>
  <c r="D340" i="19"/>
  <c r="E340" i="19"/>
  <c r="F340" i="19"/>
  <c r="G340" i="19"/>
  <c r="H340" i="19"/>
  <c r="I340" i="19"/>
  <c r="J340" i="19"/>
  <c r="K340" i="19"/>
  <c r="L340" i="19"/>
  <c r="N340" i="19"/>
  <c r="O340" i="19"/>
  <c r="P340" i="19"/>
  <c r="Q340" i="19"/>
  <c r="R340" i="19"/>
  <c r="S340" i="19"/>
  <c r="T340" i="19"/>
  <c r="U340" i="19"/>
  <c r="V340" i="19"/>
  <c r="W340" i="19"/>
  <c r="B341" i="19"/>
  <c r="C341" i="19"/>
  <c r="D341" i="19"/>
  <c r="E341" i="19"/>
  <c r="F341" i="19"/>
  <c r="G341" i="19"/>
  <c r="H341" i="19"/>
  <c r="I341" i="19"/>
  <c r="J341" i="19"/>
  <c r="K341" i="19"/>
  <c r="L341" i="19"/>
  <c r="N341" i="19"/>
  <c r="O341" i="19"/>
  <c r="P341" i="19"/>
  <c r="Q341" i="19"/>
  <c r="R341" i="19"/>
  <c r="S341" i="19"/>
  <c r="T341" i="19"/>
  <c r="U341" i="19"/>
  <c r="V341" i="19"/>
  <c r="W341" i="19"/>
  <c r="C342" i="19"/>
  <c r="D342" i="19"/>
  <c r="E342" i="19"/>
  <c r="F342" i="19"/>
  <c r="G342" i="19"/>
  <c r="H342" i="19"/>
  <c r="I342" i="19"/>
  <c r="J342" i="19"/>
  <c r="K342" i="19"/>
  <c r="L342" i="19"/>
  <c r="B344" i="19"/>
  <c r="D344" i="19"/>
  <c r="E344" i="19"/>
  <c r="F344" i="19"/>
  <c r="G344" i="19"/>
  <c r="H344" i="19"/>
  <c r="I344" i="19"/>
  <c r="J344" i="19"/>
  <c r="K344" i="19"/>
  <c r="L344" i="19"/>
  <c r="N344" i="19"/>
  <c r="O344" i="19"/>
  <c r="P344" i="19"/>
  <c r="Q344" i="19"/>
  <c r="R344" i="19"/>
  <c r="S344" i="19"/>
  <c r="T344" i="19"/>
  <c r="U344" i="19"/>
  <c r="V344" i="19"/>
  <c r="W344" i="19"/>
  <c r="C345" i="19"/>
  <c r="D345" i="19"/>
  <c r="E345" i="19"/>
  <c r="F345" i="19"/>
  <c r="G345" i="19"/>
  <c r="H345" i="19"/>
  <c r="I345" i="19"/>
  <c r="J345" i="19"/>
  <c r="K345" i="19"/>
  <c r="L345" i="19"/>
  <c r="B348" i="19"/>
  <c r="A348" i="19"/>
  <c r="C348" i="19"/>
  <c r="D348" i="19"/>
  <c r="E348" i="19"/>
  <c r="F348" i="19"/>
  <c r="G348" i="19"/>
  <c r="H348" i="19"/>
  <c r="I348" i="19"/>
  <c r="J348" i="19"/>
  <c r="K348" i="19"/>
  <c r="L348" i="19"/>
  <c r="N348" i="19"/>
  <c r="O348" i="19"/>
  <c r="P348" i="19"/>
  <c r="Q348" i="19"/>
  <c r="R348" i="19"/>
  <c r="S348" i="19"/>
  <c r="T348" i="19"/>
  <c r="U348" i="19"/>
  <c r="V348" i="19"/>
  <c r="W348" i="19"/>
  <c r="B349" i="19"/>
  <c r="A349" i="19"/>
  <c r="C349" i="19"/>
  <c r="D349" i="19"/>
  <c r="E349" i="19"/>
  <c r="F349" i="19"/>
  <c r="G349" i="19"/>
  <c r="H349" i="19"/>
  <c r="I349" i="19"/>
  <c r="J349" i="19"/>
  <c r="K349" i="19"/>
  <c r="L349" i="19"/>
  <c r="N349" i="19"/>
  <c r="O349" i="19"/>
  <c r="P349" i="19"/>
  <c r="Q349" i="19"/>
  <c r="R349" i="19"/>
  <c r="S349" i="19"/>
  <c r="T349" i="19"/>
  <c r="U349" i="19"/>
  <c r="V349" i="19"/>
  <c r="W349" i="19"/>
  <c r="B350" i="19"/>
  <c r="A350" i="19"/>
  <c r="C350" i="19"/>
  <c r="D350" i="19"/>
  <c r="E350" i="19"/>
  <c r="F350" i="19"/>
  <c r="G350" i="19"/>
  <c r="H350" i="19"/>
  <c r="I350" i="19"/>
  <c r="J350" i="19"/>
  <c r="K350" i="19"/>
  <c r="L350" i="19"/>
  <c r="N350" i="19"/>
  <c r="O350" i="19"/>
  <c r="P350" i="19"/>
  <c r="Q350" i="19"/>
  <c r="R350" i="19"/>
  <c r="S350" i="19"/>
  <c r="T350" i="19"/>
  <c r="U350" i="19"/>
  <c r="V350" i="19"/>
  <c r="W350" i="19"/>
  <c r="B351" i="19"/>
  <c r="A351" i="19"/>
  <c r="C351" i="19"/>
  <c r="D351" i="19"/>
  <c r="E351" i="19"/>
  <c r="F351" i="19"/>
  <c r="G351" i="19"/>
  <c r="H351" i="19"/>
  <c r="I351" i="19"/>
  <c r="J351" i="19"/>
  <c r="K351" i="19"/>
  <c r="L351" i="19"/>
  <c r="N351" i="19"/>
  <c r="O351" i="19"/>
  <c r="P351" i="19"/>
  <c r="Q351" i="19"/>
  <c r="R351" i="19"/>
  <c r="S351" i="19"/>
  <c r="T351" i="19"/>
  <c r="U351" i="19"/>
  <c r="V351" i="19"/>
  <c r="W351" i="19"/>
  <c r="B352" i="19"/>
  <c r="A352" i="19"/>
  <c r="C352" i="19"/>
  <c r="D352" i="19"/>
  <c r="E352" i="19"/>
  <c r="F352" i="19"/>
  <c r="G352" i="19"/>
  <c r="H352" i="19"/>
  <c r="I352" i="19"/>
  <c r="J352" i="19"/>
  <c r="K352" i="19"/>
  <c r="L352" i="19"/>
  <c r="N352" i="19"/>
  <c r="O352" i="19"/>
  <c r="P352" i="19"/>
  <c r="Q352" i="19"/>
  <c r="R352" i="19"/>
  <c r="S352" i="19"/>
  <c r="T352" i="19"/>
  <c r="U352" i="19"/>
  <c r="V352" i="19"/>
  <c r="W352" i="19"/>
  <c r="B353" i="19"/>
  <c r="A353" i="19"/>
  <c r="C353" i="19"/>
  <c r="D353" i="19"/>
  <c r="E353" i="19"/>
  <c r="F353" i="19"/>
  <c r="G353" i="19"/>
  <c r="H353" i="19"/>
  <c r="I353" i="19"/>
  <c r="J353" i="19"/>
  <c r="K353" i="19"/>
  <c r="L353" i="19"/>
  <c r="N353" i="19"/>
  <c r="O353" i="19"/>
  <c r="P353" i="19"/>
  <c r="Q353" i="19"/>
  <c r="R353" i="19"/>
  <c r="S353" i="19"/>
  <c r="T353" i="19"/>
  <c r="U353" i="19"/>
  <c r="V353" i="19"/>
  <c r="W353" i="19"/>
  <c r="B354" i="19"/>
  <c r="A354" i="19"/>
  <c r="C354" i="19"/>
  <c r="D354" i="19"/>
  <c r="E354" i="19"/>
  <c r="F354" i="19"/>
  <c r="G354" i="19"/>
  <c r="H354" i="19"/>
  <c r="I354" i="19"/>
  <c r="J354" i="19"/>
  <c r="K354" i="19"/>
  <c r="L354" i="19"/>
  <c r="N354" i="19"/>
  <c r="O354" i="19"/>
  <c r="P354" i="19"/>
  <c r="Q354" i="19"/>
  <c r="R354" i="19"/>
  <c r="S354" i="19"/>
  <c r="T354" i="19"/>
  <c r="U354" i="19"/>
  <c r="V354" i="19"/>
  <c r="W354" i="19"/>
  <c r="B355" i="19"/>
  <c r="A355" i="19"/>
  <c r="C355" i="19"/>
  <c r="D355" i="19"/>
  <c r="E355" i="19"/>
  <c r="F355" i="19"/>
  <c r="G355" i="19"/>
  <c r="H355" i="19"/>
  <c r="I355" i="19"/>
  <c r="J355" i="19"/>
  <c r="K355" i="19"/>
  <c r="L355" i="19"/>
  <c r="N355" i="19"/>
  <c r="O355" i="19"/>
  <c r="P355" i="19"/>
  <c r="Q355" i="19"/>
  <c r="R355" i="19"/>
  <c r="S355" i="19"/>
  <c r="T355" i="19"/>
  <c r="U355" i="19"/>
  <c r="V355" i="19"/>
  <c r="W355" i="19"/>
  <c r="B356" i="19"/>
  <c r="A356" i="19"/>
  <c r="C356" i="19"/>
  <c r="D356" i="19"/>
  <c r="E356" i="19"/>
  <c r="F356" i="19"/>
  <c r="G356" i="19"/>
  <c r="H356" i="19"/>
  <c r="I356" i="19"/>
  <c r="J356" i="19"/>
  <c r="K356" i="19"/>
  <c r="L356" i="19"/>
  <c r="N356" i="19"/>
  <c r="O356" i="19"/>
  <c r="P356" i="19"/>
  <c r="Q356" i="19"/>
  <c r="R356" i="19"/>
  <c r="S356" i="19"/>
  <c r="T356" i="19"/>
  <c r="U356" i="19"/>
  <c r="V356" i="19"/>
  <c r="W356" i="19"/>
  <c r="B357" i="19"/>
  <c r="C357" i="19"/>
  <c r="D357" i="19"/>
  <c r="E357" i="19"/>
  <c r="F357" i="19"/>
  <c r="G357" i="19"/>
  <c r="H357" i="19"/>
  <c r="I357" i="19"/>
  <c r="J357" i="19"/>
  <c r="K357" i="19"/>
  <c r="L357" i="19"/>
  <c r="N357" i="19"/>
  <c r="O357" i="19"/>
  <c r="P357" i="19"/>
  <c r="Q357" i="19"/>
  <c r="R357" i="19"/>
  <c r="S357" i="19"/>
  <c r="T357" i="19"/>
  <c r="U357" i="19"/>
  <c r="V357" i="19"/>
  <c r="W357" i="19"/>
  <c r="C358" i="19"/>
  <c r="D358" i="19"/>
  <c r="E358" i="19"/>
  <c r="F358" i="19"/>
  <c r="G358" i="19"/>
  <c r="H358" i="19"/>
  <c r="I358" i="19"/>
  <c r="J358" i="19"/>
  <c r="K358" i="19"/>
  <c r="L358" i="19"/>
  <c r="B360" i="19"/>
  <c r="D360" i="19"/>
  <c r="E360" i="19"/>
  <c r="F360" i="19"/>
  <c r="G360" i="19"/>
  <c r="H360" i="19"/>
  <c r="I360" i="19"/>
  <c r="J360" i="19"/>
  <c r="K360" i="19"/>
  <c r="L360" i="19"/>
  <c r="N360" i="19"/>
  <c r="O360" i="19"/>
  <c r="P360" i="19"/>
  <c r="Q360" i="19"/>
  <c r="R360" i="19"/>
  <c r="S360" i="19"/>
  <c r="T360" i="19"/>
  <c r="U360" i="19"/>
  <c r="V360" i="19"/>
  <c r="W360" i="19"/>
  <c r="C361" i="19"/>
  <c r="D361" i="19"/>
  <c r="E361" i="19"/>
  <c r="F361" i="19"/>
  <c r="G361" i="19"/>
  <c r="H361" i="19"/>
  <c r="I361" i="19"/>
  <c r="J361" i="19"/>
  <c r="K361" i="19"/>
  <c r="L361" i="19"/>
  <c r="B364" i="19"/>
  <c r="A364" i="19"/>
  <c r="C364" i="19"/>
  <c r="D364" i="19"/>
  <c r="E364" i="19"/>
  <c r="F364" i="19"/>
  <c r="G364" i="19"/>
  <c r="H364" i="19"/>
  <c r="I364" i="19"/>
  <c r="J364" i="19"/>
  <c r="K364" i="19"/>
  <c r="L364" i="19"/>
  <c r="N364" i="19"/>
  <c r="O364" i="19"/>
  <c r="P364" i="19"/>
  <c r="Q364" i="19"/>
  <c r="R364" i="19"/>
  <c r="S364" i="19"/>
  <c r="T364" i="19"/>
  <c r="U364" i="19"/>
  <c r="V364" i="19"/>
  <c r="W364" i="19"/>
  <c r="B365" i="19"/>
  <c r="A365" i="19"/>
  <c r="C365" i="19"/>
  <c r="D365" i="19"/>
  <c r="E365" i="19"/>
  <c r="F365" i="19"/>
  <c r="G365" i="19"/>
  <c r="H365" i="19"/>
  <c r="I365" i="19"/>
  <c r="J365" i="19"/>
  <c r="K365" i="19"/>
  <c r="L365" i="19"/>
  <c r="N365" i="19"/>
  <c r="O365" i="19"/>
  <c r="P365" i="19"/>
  <c r="Q365" i="19"/>
  <c r="R365" i="19"/>
  <c r="S365" i="19"/>
  <c r="T365" i="19"/>
  <c r="U365" i="19"/>
  <c r="V365" i="19"/>
  <c r="W365" i="19"/>
  <c r="B366" i="19"/>
  <c r="A366" i="19"/>
  <c r="C366" i="19"/>
  <c r="D366" i="19"/>
  <c r="E366" i="19"/>
  <c r="F366" i="19"/>
  <c r="G366" i="19"/>
  <c r="H366" i="19"/>
  <c r="I366" i="19"/>
  <c r="J366" i="19"/>
  <c r="K366" i="19"/>
  <c r="L366" i="19"/>
  <c r="N366" i="19"/>
  <c r="O366" i="19"/>
  <c r="P366" i="19"/>
  <c r="Q366" i="19"/>
  <c r="R366" i="19"/>
  <c r="S366" i="19"/>
  <c r="T366" i="19"/>
  <c r="U366" i="19"/>
  <c r="V366" i="19"/>
  <c r="W366" i="19"/>
  <c r="B367" i="19"/>
  <c r="A367" i="19"/>
  <c r="C367" i="19"/>
  <c r="D367" i="19"/>
  <c r="E367" i="19"/>
  <c r="F367" i="19"/>
  <c r="G367" i="19"/>
  <c r="H367" i="19"/>
  <c r="I367" i="19"/>
  <c r="J367" i="19"/>
  <c r="K367" i="19"/>
  <c r="L367" i="19"/>
  <c r="N367" i="19"/>
  <c r="O367" i="19"/>
  <c r="P367" i="19"/>
  <c r="Q367" i="19"/>
  <c r="R367" i="19"/>
  <c r="S367" i="19"/>
  <c r="T367" i="19"/>
  <c r="U367" i="19"/>
  <c r="V367" i="19"/>
  <c r="W367" i="19"/>
  <c r="B368" i="19"/>
  <c r="A368" i="19"/>
  <c r="C368" i="19"/>
  <c r="D368" i="19"/>
  <c r="E368" i="19"/>
  <c r="F368" i="19"/>
  <c r="G368" i="19"/>
  <c r="H368" i="19"/>
  <c r="I368" i="19"/>
  <c r="J368" i="19"/>
  <c r="K368" i="19"/>
  <c r="L368" i="19"/>
  <c r="N368" i="19"/>
  <c r="O368" i="19"/>
  <c r="P368" i="19"/>
  <c r="Q368" i="19"/>
  <c r="R368" i="19"/>
  <c r="S368" i="19"/>
  <c r="T368" i="19"/>
  <c r="U368" i="19"/>
  <c r="V368" i="19"/>
  <c r="W368" i="19"/>
  <c r="B369" i="19"/>
  <c r="A369" i="19"/>
  <c r="C369" i="19"/>
  <c r="D369" i="19"/>
  <c r="E369" i="19"/>
  <c r="F369" i="19"/>
  <c r="G369" i="19"/>
  <c r="H369" i="19"/>
  <c r="I369" i="19"/>
  <c r="J369" i="19"/>
  <c r="K369" i="19"/>
  <c r="L369" i="19"/>
  <c r="N369" i="19"/>
  <c r="O369" i="19"/>
  <c r="P369" i="19"/>
  <c r="Q369" i="19"/>
  <c r="R369" i="19"/>
  <c r="S369" i="19"/>
  <c r="T369" i="19"/>
  <c r="U369" i="19"/>
  <c r="V369" i="19"/>
  <c r="W369" i="19"/>
  <c r="B370" i="19"/>
  <c r="A370" i="19"/>
  <c r="C370" i="19"/>
  <c r="D370" i="19"/>
  <c r="E370" i="19"/>
  <c r="F370" i="19"/>
  <c r="G370" i="19"/>
  <c r="H370" i="19"/>
  <c r="I370" i="19"/>
  <c r="J370" i="19"/>
  <c r="K370" i="19"/>
  <c r="L370" i="19"/>
  <c r="N370" i="19"/>
  <c r="O370" i="19"/>
  <c r="P370" i="19"/>
  <c r="Q370" i="19"/>
  <c r="R370" i="19"/>
  <c r="S370" i="19"/>
  <c r="T370" i="19"/>
  <c r="U370" i="19"/>
  <c r="V370" i="19"/>
  <c r="W370" i="19"/>
  <c r="B371" i="19"/>
  <c r="A371" i="19"/>
  <c r="C371" i="19"/>
  <c r="D371" i="19"/>
  <c r="E371" i="19"/>
  <c r="F371" i="19"/>
  <c r="G371" i="19"/>
  <c r="H371" i="19"/>
  <c r="I371" i="19"/>
  <c r="J371" i="19"/>
  <c r="K371" i="19"/>
  <c r="L371" i="19"/>
  <c r="N371" i="19"/>
  <c r="O371" i="19"/>
  <c r="P371" i="19"/>
  <c r="Q371" i="19"/>
  <c r="R371" i="19"/>
  <c r="S371" i="19"/>
  <c r="T371" i="19"/>
  <c r="U371" i="19"/>
  <c r="V371" i="19"/>
  <c r="W371" i="19"/>
  <c r="B372" i="19"/>
  <c r="A372" i="19"/>
  <c r="C372" i="19"/>
  <c r="D372" i="19"/>
  <c r="E372" i="19"/>
  <c r="F372" i="19"/>
  <c r="G372" i="19"/>
  <c r="H372" i="19"/>
  <c r="I372" i="19"/>
  <c r="J372" i="19"/>
  <c r="K372" i="19"/>
  <c r="L372" i="19"/>
  <c r="N372" i="19"/>
  <c r="O372" i="19"/>
  <c r="P372" i="19"/>
  <c r="Q372" i="19"/>
  <c r="R372" i="19"/>
  <c r="S372" i="19"/>
  <c r="T372" i="19"/>
  <c r="U372" i="19"/>
  <c r="V372" i="19"/>
  <c r="W372" i="19"/>
  <c r="B373" i="19"/>
  <c r="C373" i="19"/>
  <c r="D373" i="19"/>
  <c r="E373" i="19"/>
  <c r="F373" i="19"/>
  <c r="G373" i="19"/>
  <c r="H373" i="19"/>
  <c r="I373" i="19"/>
  <c r="J373" i="19"/>
  <c r="K373" i="19"/>
  <c r="L373" i="19"/>
  <c r="N373" i="19"/>
  <c r="O373" i="19"/>
  <c r="P373" i="19"/>
  <c r="Q373" i="19"/>
  <c r="R373" i="19"/>
  <c r="S373" i="19"/>
  <c r="T373" i="19"/>
  <c r="U373" i="19"/>
  <c r="V373" i="19"/>
  <c r="W373" i="19"/>
  <c r="C374" i="19"/>
  <c r="D374" i="19"/>
  <c r="E374" i="19"/>
  <c r="F374" i="19"/>
  <c r="G374" i="19"/>
  <c r="H374" i="19"/>
  <c r="I374" i="19"/>
  <c r="J374" i="19"/>
  <c r="K374" i="19"/>
  <c r="L374" i="19"/>
  <c r="B376" i="19"/>
  <c r="D376" i="19"/>
  <c r="E376" i="19"/>
  <c r="F376" i="19"/>
  <c r="G376" i="19"/>
  <c r="H376" i="19"/>
  <c r="I376" i="19"/>
  <c r="J376" i="19"/>
  <c r="K376" i="19"/>
  <c r="L376" i="19"/>
  <c r="N376" i="19"/>
  <c r="O376" i="19"/>
  <c r="P376" i="19"/>
  <c r="Q376" i="19"/>
  <c r="R376" i="19"/>
  <c r="S376" i="19"/>
  <c r="T376" i="19"/>
  <c r="U376" i="19"/>
  <c r="V376" i="19"/>
  <c r="W376" i="19"/>
  <c r="C377" i="19"/>
  <c r="D377" i="19"/>
  <c r="E377" i="19"/>
  <c r="F377" i="19"/>
  <c r="G377" i="19"/>
  <c r="H377" i="19"/>
  <c r="I377" i="19"/>
  <c r="J377" i="19"/>
  <c r="K377" i="19"/>
  <c r="L377" i="19"/>
  <c r="B380" i="19"/>
  <c r="A380" i="19"/>
  <c r="C380" i="19"/>
  <c r="D380" i="19"/>
  <c r="E380" i="19"/>
  <c r="F380" i="19"/>
  <c r="G380" i="19"/>
  <c r="H380" i="19"/>
  <c r="I380" i="19"/>
  <c r="J380" i="19"/>
  <c r="K380" i="19"/>
  <c r="L380" i="19"/>
  <c r="N380" i="19"/>
  <c r="O380" i="19"/>
  <c r="P380" i="19"/>
  <c r="Q380" i="19"/>
  <c r="R380" i="19"/>
  <c r="S380" i="19"/>
  <c r="T380" i="19"/>
  <c r="U380" i="19"/>
  <c r="V380" i="19"/>
  <c r="W380" i="19"/>
  <c r="B381" i="19"/>
  <c r="A381" i="19"/>
  <c r="C381" i="19"/>
  <c r="D381" i="19"/>
  <c r="E381" i="19"/>
  <c r="F381" i="19"/>
  <c r="G381" i="19"/>
  <c r="H381" i="19"/>
  <c r="I381" i="19"/>
  <c r="J381" i="19"/>
  <c r="K381" i="19"/>
  <c r="L381" i="19"/>
  <c r="N381" i="19"/>
  <c r="O381" i="19"/>
  <c r="P381" i="19"/>
  <c r="Q381" i="19"/>
  <c r="R381" i="19"/>
  <c r="S381" i="19"/>
  <c r="T381" i="19"/>
  <c r="U381" i="19"/>
  <c r="V381" i="19"/>
  <c r="W381" i="19"/>
  <c r="B382" i="19"/>
  <c r="A382" i="19"/>
  <c r="C382" i="19"/>
  <c r="D382" i="19"/>
  <c r="E382" i="19"/>
  <c r="F382" i="19"/>
  <c r="G382" i="19"/>
  <c r="H382" i="19"/>
  <c r="I382" i="19"/>
  <c r="J382" i="19"/>
  <c r="K382" i="19"/>
  <c r="L382" i="19"/>
  <c r="N382" i="19"/>
  <c r="O382" i="19"/>
  <c r="P382" i="19"/>
  <c r="Q382" i="19"/>
  <c r="R382" i="19"/>
  <c r="S382" i="19"/>
  <c r="T382" i="19"/>
  <c r="U382" i="19"/>
  <c r="V382" i="19"/>
  <c r="W382" i="19"/>
  <c r="B383" i="19"/>
  <c r="A383" i="19"/>
  <c r="C383" i="19"/>
  <c r="D383" i="19"/>
  <c r="E383" i="19"/>
  <c r="F383" i="19"/>
  <c r="G383" i="19"/>
  <c r="H383" i="19"/>
  <c r="I383" i="19"/>
  <c r="J383" i="19"/>
  <c r="K383" i="19"/>
  <c r="L383" i="19"/>
  <c r="N383" i="19"/>
  <c r="O383" i="19"/>
  <c r="P383" i="19"/>
  <c r="Q383" i="19"/>
  <c r="R383" i="19"/>
  <c r="S383" i="19"/>
  <c r="T383" i="19"/>
  <c r="U383" i="19"/>
  <c r="V383" i="19"/>
  <c r="W383" i="19"/>
  <c r="B384" i="19"/>
  <c r="A384" i="19"/>
  <c r="C384" i="19"/>
  <c r="D384" i="19"/>
  <c r="E384" i="19"/>
  <c r="F384" i="19"/>
  <c r="G384" i="19"/>
  <c r="H384" i="19"/>
  <c r="I384" i="19"/>
  <c r="J384" i="19"/>
  <c r="K384" i="19"/>
  <c r="L384" i="19"/>
  <c r="N384" i="19"/>
  <c r="O384" i="19"/>
  <c r="P384" i="19"/>
  <c r="Q384" i="19"/>
  <c r="R384" i="19"/>
  <c r="S384" i="19"/>
  <c r="T384" i="19"/>
  <c r="U384" i="19"/>
  <c r="V384" i="19"/>
  <c r="W384" i="19"/>
  <c r="B385" i="19"/>
  <c r="A385" i="19"/>
  <c r="C385" i="19"/>
  <c r="D385" i="19"/>
  <c r="E385" i="19"/>
  <c r="F385" i="19"/>
  <c r="G385" i="19"/>
  <c r="H385" i="19"/>
  <c r="I385" i="19"/>
  <c r="J385" i="19"/>
  <c r="K385" i="19"/>
  <c r="L385" i="19"/>
  <c r="N385" i="19"/>
  <c r="O385" i="19"/>
  <c r="P385" i="19"/>
  <c r="Q385" i="19"/>
  <c r="R385" i="19"/>
  <c r="S385" i="19"/>
  <c r="T385" i="19"/>
  <c r="U385" i="19"/>
  <c r="V385" i="19"/>
  <c r="W385" i="19"/>
  <c r="B386" i="19"/>
  <c r="A386" i="19"/>
  <c r="C386" i="19"/>
  <c r="D386" i="19"/>
  <c r="E386" i="19"/>
  <c r="F386" i="19"/>
  <c r="G386" i="19"/>
  <c r="H386" i="19"/>
  <c r="I386" i="19"/>
  <c r="J386" i="19"/>
  <c r="K386" i="19"/>
  <c r="L386" i="19"/>
  <c r="N386" i="19"/>
  <c r="O386" i="19"/>
  <c r="P386" i="19"/>
  <c r="Q386" i="19"/>
  <c r="R386" i="19"/>
  <c r="S386" i="19"/>
  <c r="T386" i="19"/>
  <c r="U386" i="19"/>
  <c r="V386" i="19"/>
  <c r="W386" i="19"/>
  <c r="B387" i="19"/>
  <c r="A387" i="19"/>
  <c r="C387" i="19"/>
  <c r="D387" i="19"/>
  <c r="E387" i="19"/>
  <c r="F387" i="19"/>
  <c r="G387" i="19"/>
  <c r="H387" i="19"/>
  <c r="I387" i="19"/>
  <c r="J387" i="19"/>
  <c r="K387" i="19"/>
  <c r="L387" i="19"/>
  <c r="N387" i="19"/>
  <c r="O387" i="19"/>
  <c r="P387" i="19"/>
  <c r="Q387" i="19"/>
  <c r="R387" i="19"/>
  <c r="S387" i="19"/>
  <c r="T387" i="19"/>
  <c r="U387" i="19"/>
  <c r="V387" i="19"/>
  <c r="W387" i="19"/>
  <c r="B388" i="19"/>
  <c r="A388" i="19"/>
  <c r="C388" i="19"/>
  <c r="D388" i="19"/>
  <c r="E388" i="19"/>
  <c r="F388" i="19"/>
  <c r="G388" i="19"/>
  <c r="H388" i="19"/>
  <c r="I388" i="19"/>
  <c r="J388" i="19"/>
  <c r="K388" i="19"/>
  <c r="L388" i="19"/>
  <c r="N388" i="19"/>
  <c r="O388" i="19"/>
  <c r="P388" i="19"/>
  <c r="Q388" i="19"/>
  <c r="R388" i="19"/>
  <c r="S388" i="19"/>
  <c r="T388" i="19"/>
  <c r="U388" i="19"/>
  <c r="V388" i="19"/>
  <c r="W388" i="19"/>
  <c r="B389" i="19"/>
  <c r="C389" i="19"/>
  <c r="D389" i="19"/>
  <c r="E389" i="19"/>
  <c r="F389" i="19"/>
  <c r="G389" i="19"/>
  <c r="H389" i="19"/>
  <c r="I389" i="19"/>
  <c r="J389" i="19"/>
  <c r="K389" i="19"/>
  <c r="L389" i="19"/>
  <c r="N389" i="19"/>
  <c r="O389" i="19"/>
  <c r="P389" i="19"/>
  <c r="Q389" i="19"/>
  <c r="R389" i="19"/>
  <c r="S389" i="19"/>
  <c r="T389" i="19"/>
  <c r="U389" i="19"/>
  <c r="V389" i="19"/>
  <c r="W389" i="19"/>
  <c r="C390" i="19"/>
  <c r="D390" i="19"/>
  <c r="E390" i="19"/>
  <c r="F390" i="19"/>
  <c r="G390" i="19"/>
  <c r="H390" i="19"/>
  <c r="I390" i="19"/>
  <c r="J390" i="19"/>
  <c r="K390" i="19"/>
  <c r="L390" i="19"/>
  <c r="B392" i="19"/>
  <c r="D392" i="19"/>
  <c r="E392" i="19"/>
  <c r="F392" i="19"/>
  <c r="G392" i="19"/>
  <c r="H392" i="19"/>
  <c r="I392" i="19"/>
  <c r="J392" i="19"/>
  <c r="K392" i="19"/>
  <c r="L392" i="19"/>
  <c r="N392" i="19"/>
  <c r="O392" i="19"/>
  <c r="P392" i="19"/>
  <c r="Q392" i="19"/>
  <c r="R392" i="19"/>
  <c r="S392" i="19"/>
  <c r="T392" i="19"/>
  <c r="U392" i="19"/>
  <c r="V392" i="19"/>
  <c r="W392" i="19"/>
  <c r="C393" i="19"/>
  <c r="D393" i="19"/>
  <c r="E393" i="19"/>
  <c r="F393" i="19"/>
  <c r="G393" i="19"/>
  <c r="H393" i="19"/>
  <c r="I393" i="19"/>
  <c r="J393" i="19"/>
  <c r="K393" i="19"/>
  <c r="L393" i="19"/>
  <c r="B396" i="19"/>
  <c r="A396" i="19"/>
  <c r="C396" i="19"/>
  <c r="D396" i="19"/>
  <c r="E396" i="19"/>
  <c r="F396" i="19"/>
  <c r="G396" i="19"/>
  <c r="H396" i="19"/>
  <c r="I396" i="19"/>
  <c r="J396" i="19"/>
  <c r="K396" i="19"/>
  <c r="L396" i="19"/>
  <c r="N396" i="19"/>
  <c r="O396" i="19"/>
  <c r="P396" i="19"/>
  <c r="Q396" i="19"/>
  <c r="R396" i="19"/>
  <c r="S396" i="19"/>
  <c r="T396" i="19"/>
  <c r="U396" i="19"/>
  <c r="V396" i="19"/>
  <c r="W396" i="19"/>
  <c r="B397" i="19"/>
  <c r="A397" i="19"/>
  <c r="C397" i="19"/>
  <c r="D397" i="19"/>
  <c r="E397" i="19"/>
  <c r="F397" i="19"/>
  <c r="G397" i="19"/>
  <c r="H397" i="19"/>
  <c r="I397" i="19"/>
  <c r="J397" i="19"/>
  <c r="K397" i="19"/>
  <c r="L397" i="19"/>
  <c r="N397" i="19"/>
  <c r="O397" i="19"/>
  <c r="P397" i="19"/>
  <c r="Q397" i="19"/>
  <c r="R397" i="19"/>
  <c r="S397" i="19"/>
  <c r="T397" i="19"/>
  <c r="U397" i="19"/>
  <c r="V397" i="19"/>
  <c r="W397" i="19"/>
  <c r="B398" i="19"/>
  <c r="A398" i="19"/>
  <c r="C398" i="19"/>
  <c r="D398" i="19"/>
  <c r="E398" i="19"/>
  <c r="F398" i="19"/>
  <c r="G398" i="19"/>
  <c r="H398" i="19"/>
  <c r="I398" i="19"/>
  <c r="J398" i="19"/>
  <c r="K398" i="19"/>
  <c r="L398" i="19"/>
  <c r="N398" i="19"/>
  <c r="O398" i="19"/>
  <c r="P398" i="19"/>
  <c r="Q398" i="19"/>
  <c r="R398" i="19"/>
  <c r="S398" i="19"/>
  <c r="T398" i="19"/>
  <c r="U398" i="19"/>
  <c r="V398" i="19"/>
  <c r="W398" i="19"/>
  <c r="B399" i="19"/>
  <c r="A399" i="19"/>
  <c r="C399" i="19"/>
  <c r="D399" i="19"/>
  <c r="E399" i="19"/>
  <c r="F399" i="19"/>
  <c r="G399" i="19"/>
  <c r="H399" i="19"/>
  <c r="I399" i="19"/>
  <c r="J399" i="19"/>
  <c r="K399" i="19"/>
  <c r="L399" i="19"/>
  <c r="N399" i="19"/>
  <c r="O399" i="19"/>
  <c r="P399" i="19"/>
  <c r="Q399" i="19"/>
  <c r="R399" i="19"/>
  <c r="S399" i="19"/>
  <c r="T399" i="19"/>
  <c r="U399" i="19"/>
  <c r="V399" i="19"/>
  <c r="W399" i="19"/>
  <c r="B400" i="19"/>
  <c r="A400" i="19"/>
  <c r="C400" i="19"/>
  <c r="D400" i="19"/>
  <c r="E400" i="19"/>
  <c r="F400" i="19"/>
  <c r="G400" i="19"/>
  <c r="H400" i="19"/>
  <c r="I400" i="19"/>
  <c r="J400" i="19"/>
  <c r="K400" i="19"/>
  <c r="L400" i="19"/>
  <c r="N400" i="19"/>
  <c r="O400" i="19"/>
  <c r="P400" i="19"/>
  <c r="Q400" i="19"/>
  <c r="R400" i="19"/>
  <c r="S400" i="19"/>
  <c r="T400" i="19"/>
  <c r="U400" i="19"/>
  <c r="V400" i="19"/>
  <c r="W400" i="19"/>
  <c r="B401" i="19"/>
  <c r="A401" i="19"/>
  <c r="C401" i="19"/>
  <c r="D401" i="19"/>
  <c r="E401" i="19"/>
  <c r="F401" i="19"/>
  <c r="G401" i="19"/>
  <c r="H401" i="19"/>
  <c r="I401" i="19"/>
  <c r="J401" i="19"/>
  <c r="K401" i="19"/>
  <c r="L401" i="19"/>
  <c r="N401" i="19"/>
  <c r="O401" i="19"/>
  <c r="P401" i="19"/>
  <c r="Q401" i="19"/>
  <c r="R401" i="19"/>
  <c r="S401" i="19"/>
  <c r="T401" i="19"/>
  <c r="U401" i="19"/>
  <c r="V401" i="19"/>
  <c r="W401" i="19"/>
  <c r="B402" i="19"/>
  <c r="A402" i="19"/>
  <c r="C402" i="19"/>
  <c r="D402" i="19"/>
  <c r="E402" i="19"/>
  <c r="F402" i="19"/>
  <c r="G402" i="19"/>
  <c r="H402" i="19"/>
  <c r="I402" i="19"/>
  <c r="J402" i="19"/>
  <c r="K402" i="19"/>
  <c r="L402" i="19"/>
  <c r="N402" i="19"/>
  <c r="O402" i="19"/>
  <c r="P402" i="19"/>
  <c r="Q402" i="19"/>
  <c r="R402" i="19"/>
  <c r="S402" i="19"/>
  <c r="T402" i="19"/>
  <c r="U402" i="19"/>
  <c r="V402" i="19"/>
  <c r="W402" i="19"/>
  <c r="B403" i="19"/>
  <c r="A403" i="19"/>
  <c r="C403" i="19"/>
  <c r="D403" i="19"/>
  <c r="E403" i="19"/>
  <c r="F403" i="19"/>
  <c r="G403" i="19"/>
  <c r="H403" i="19"/>
  <c r="I403" i="19"/>
  <c r="J403" i="19"/>
  <c r="K403" i="19"/>
  <c r="L403" i="19"/>
  <c r="N403" i="19"/>
  <c r="O403" i="19"/>
  <c r="P403" i="19"/>
  <c r="Q403" i="19"/>
  <c r="R403" i="19"/>
  <c r="S403" i="19"/>
  <c r="T403" i="19"/>
  <c r="U403" i="19"/>
  <c r="V403" i="19"/>
  <c r="W403" i="19"/>
  <c r="B404" i="19"/>
  <c r="A404" i="19"/>
  <c r="C404" i="19"/>
  <c r="D404" i="19"/>
  <c r="E404" i="19"/>
  <c r="F404" i="19"/>
  <c r="G404" i="19"/>
  <c r="H404" i="19"/>
  <c r="I404" i="19"/>
  <c r="J404" i="19"/>
  <c r="K404" i="19"/>
  <c r="L404" i="19"/>
  <c r="N404" i="19"/>
  <c r="O404" i="19"/>
  <c r="P404" i="19"/>
  <c r="Q404" i="19"/>
  <c r="R404" i="19"/>
  <c r="S404" i="19"/>
  <c r="T404" i="19"/>
  <c r="U404" i="19"/>
  <c r="V404" i="19"/>
  <c r="W404" i="19"/>
  <c r="B405" i="19"/>
  <c r="C405" i="19"/>
  <c r="D405" i="19"/>
  <c r="E405" i="19"/>
  <c r="F405" i="19"/>
  <c r="G405" i="19"/>
  <c r="H405" i="19"/>
  <c r="I405" i="19"/>
  <c r="J405" i="19"/>
  <c r="K405" i="19"/>
  <c r="L405" i="19"/>
  <c r="N405" i="19"/>
  <c r="O405" i="19"/>
  <c r="P405" i="19"/>
  <c r="Q405" i="19"/>
  <c r="R405" i="19"/>
  <c r="S405" i="19"/>
  <c r="T405" i="19"/>
  <c r="U405" i="19"/>
  <c r="V405" i="19"/>
  <c r="W405" i="19"/>
  <c r="C406" i="19"/>
  <c r="D406" i="19"/>
  <c r="E406" i="19"/>
  <c r="F406" i="19"/>
  <c r="G406" i="19"/>
  <c r="H406" i="19"/>
  <c r="I406" i="19"/>
  <c r="J406" i="19"/>
  <c r="K406" i="19"/>
  <c r="L406" i="19"/>
  <c r="B408" i="19"/>
  <c r="D408" i="19"/>
  <c r="E408" i="19"/>
  <c r="F408" i="19"/>
  <c r="G408" i="19"/>
  <c r="H408" i="19"/>
  <c r="I408" i="19"/>
  <c r="J408" i="19"/>
  <c r="K408" i="19"/>
  <c r="L408" i="19"/>
  <c r="N408" i="19"/>
  <c r="O408" i="19"/>
  <c r="P408" i="19"/>
  <c r="Q408" i="19"/>
  <c r="R408" i="19"/>
  <c r="S408" i="19"/>
  <c r="T408" i="19"/>
  <c r="U408" i="19"/>
  <c r="V408" i="19"/>
  <c r="W408" i="19"/>
  <c r="C409" i="19"/>
  <c r="D409" i="19"/>
  <c r="E409" i="19"/>
  <c r="F409" i="19"/>
  <c r="G409" i="19"/>
  <c r="H409" i="19"/>
  <c r="I409" i="19"/>
  <c r="J409" i="19"/>
  <c r="K409" i="19"/>
  <c r="L409" i="19"/>
  <c r="B412" i="19"/>
  <c r="A412" i="19"/>
  <c r="C412" i="19"/>
  <c r="D412" i="19"/>
  <c r="E412" i="19"/>
  <c r="F412" i="19"/>
  <c r="G412" i="19"/>
  <c r="H412" i="19"/>
  <c r="I412" i="19"/>
  <c r="J412" i="19"/>
  <c r="K412" i="19"/>
  <c r="L412" i="19"/>
  <c r="N412" i="19"/>
  <c r="O412" i="19"/>
  <c r="P412" i="19"/>
  <c r="Q412" i="19"/>
  <c r="R412" i="19"/>
  <c r="S412" i="19"/>
  <c r="T412" i="19"/>
  <c r="U412" i="19"/>
  <c r="V412" i="19"/>
  <c r="W412" i="19"/>
  <c r="B413" i="19"/>
  <c r="A413" i="19"/>
  <c r="C413" i="19"/>
  <c r="D413" i="19"/>
  <c r="E413" i="19"/>
  <c r="F413" i="19"/>
  <c r="G413" i="19"/>
  <c r="H413" i="19"/>
  <c r="I413" i="19"/>
  <c r="J413" i="19"/>
  <c r="K413" i="19"/>
  <c r="L413" i="19"/>
  <c r="N413" i="19"/>
  <c r="O413" i="19"/>
  <c r="P413" i="19"/>
  <c r="Q413" i="19"/>
  <c r="R413" i="19"/>
  <c r="S413" i="19"/>
  <c r="T413" i="19"/>
  <c r="U413" i="19"/>
  <c r="V413" i="19"/>
  <c r="W413" i="19"/>
  <c r="B414" i="19"/>
  <c r="A414" i="19"/>
  <c r="C414" i="19"/>
  <c r="D414" i="19"/>
  <c r="E414" i="19"/>
  <c r="F414" i="19"/>
  <c r="G414" i="19"/>
  <c r="H414" i="19"/>
  <c r="I414" i="19"/>
  <c r="J414" i="19"/>
  <c r="K414" i="19"/>
  <c r="L414" i="19"/>
  <c r="N414" i="19"/>
  <c r="O414" i="19"/>
  <c r="P414" i="19"/>
  <c r="Q414" i="19"/>
  <c r="R414" i="19"/>
  <c r="S414" i="19"/>
  <c r="T414" i="19"/>
  <c r="U414" i="19"/>
  <c r="V414" i="19"/>
  <c r="W414" i="19"/>
  <c r="B415" i="19"/>
  <c r="A415" i="19"/>
  <c r="C415" i="19"/>
  <c r="D415" i="19"/>
  <c r="E415" i="19"/>
  <c r="F415" i="19"/>
  <c r="G415" i="19"/>
  <c r="H415" i="19"/>
  <c r="I415" i="19"/>
  <c r="J415" i="19"/>
  <c r="K415" i="19"/>
  <c r="L415" i="19"/>
  <c r="N415" i="19"/>
  <c r="O415" i="19"/>
  <c r="P415" i="19"/>
  <c r="Q415" i="19"/>
  <c r="R415" i="19"/>
  <c r="S415" i="19"/>
  <c r="T415" i="19"/>
  <c r="U415" i="19"/>
  <c r="V415" i="19"/>
  <c r="W415" i="19"/>
  <c r="B416" i="19"/>
  <c r="A416" i="19"/>
  <c r="C416" i="19"/>
  <c r="D416" i="19"/>
  <c r="E416" i="19"/>
  <c r="F416" i="19"/>
  <c r="G416" i="19"/>
  <c r="H416" i="19"/>
  <c r="I416" i="19"/>
  <c r="J416" i="19"/>
  <c r="K416" i="19"/>
  <c r="L416" i="19"/>
  <c r="N416" i="19"/>
  <c r="O416" i="19"/>
  <c r="P416" i="19"/>
  <c r="Q416" i="19"/>
  <c r="R416" i="19"/>
  <c r="S416" i="19"/>
  <c r="T416" i="19"/>
  <c r="U416" i="19"/>
  <c r="V416" i="19"/>
  <c r="W416" i="19"/>
  <c r="B417" i="19"/>
  <c r="A417" i="19"/>
  <c r="C417" i="19"/>
  <c r="D417" i="19"/>
  <c r="E417" i="19"/>
  <c r="F417" i="19"/>
  <c r="G417" i="19"/>
  <c r="H417" i="19"/>
  <c r="I417" i="19"/>
  <c r="J417" i="19"/>
  <c r="K417" i="19"/>
  <c r="L417" i="19"/>
  <c r="N417" i="19"/>
  <c r="O417" i="19"/>
  <c r="P417" i="19"/>
  <c r="Q417" i="19"/>
  <c r="R417" i="19"/>
  <c r="S417" i="19"/>
  <c r="T417" i="19"/>
  <c r="U417" i="19"/>
  <c r="V417" i="19"/>
  <c r="W417" i="19"/>
  <c r="B418" i="19"/>
  <c r="A418" i="19"/>
  <c r="C418" i="19"/>
  <c r="D418" i="19"/>
  <c r="E418" i="19"/>
  <c r="F418" i="19"/>
  <c r="G418" i="19"/>
  <c r="H418" i="19"/>
  <c r="I418" i="19"/>
  <c r="J418" i="19"/>
  <c r="K418" i="19"/>
  <c r="L418" i="19"/>
  <c r="N418" i="19"/>
  <c r="O418" i="19"/>
  <c r="P418" i="19"/>
  <c r="Q418" i="19"/>
  <c r="R418" i="19"/>
  <c r="S418" i="19"/>
  <c r="T418" i="19"/>
  <c r="U418" i="19"/>
  <c r="V418" i="19"/>
  <c r="W418" i="19"/>
  <c r="B419" i="19"/>
  <c r="A419" i="19"/>
  <c r="C419" i="19"/>
  <c r="D419" i="19"/>
  <c r="E419" i="19"/>
  <c r="F419" i="19"/>
  <c r="G419" i="19"/>
  <c r="H419" i="19"/>
  <c r="I419" i="19"/>
  <c r="J419" i="19"/>
  <c r="K419" i="19"/>
  <c r="L419" i="19"/>
  <c r="N419" i="19"/>
  <c r="O419" i="19"/>
  <c r="P419" i="19"/>
  <c r="Q419" i="19"/>
  <c r="R419" i="19"/>
  <c r="S419" i="19"/>
  <c r="T419" i="19"/>
  <c r="U419" i="19"/>
  <c r="V419" i="19"/>
  <c r="W419" i="19"/>
  <c r="B420" i="19"/>
  <c r="A420" i="19"/>
  <c r="C420" i="19"/>
  <c r="D420" i="19"/>
  <c r="E420" i="19"/>
  <c r="F420" i="19"/>
  <c r="G420" i="19"/>
  <c r="H420" i="19"/>
  <c r="I420" i="19"/>
  <c r="J420" i="19"/>
  <c r="K420" i="19"/>
  <c r="L420" i="19"/>
  <c r="N420" i="19"/>
  <c r="O420" i="19"/>
  <c r="P420" i="19"/>
  <c r="Q420" i="19"/>
  <c r="R420" i="19"/>
  <c r="S420" i="19"/>
  <c r="T420" i="19"/>
  <c r="U420" i="19"/>
  <c r="V420" i="19"/>
  <c r="W420" i="19"/>
  <c r="B421" i="19"/>
  <c r="C421" i="19"/>
  <c r="D421" i="19"/>
  <c r="E421" i="19"/>
  <c r="F421" i="19"/>
  <c r="G421" i="19"/>
  <c r="H421" i="19"/>
  <c r="I421" i="19"/>
  <c r="J421" i="19"/>
  <c r="K421" i="19"/>
  <c r="L421" i="19"/>
  <c r="N421" i="19"/>
  <c r="O421" i="19"/>
  <c r="P421" i="19"/>
  <c r="Q421" i="19"/>
  <c r="R421" i="19"/>
  <c r="S421" i="19"/>
  <c r="T421" i="19"/>
  <c r="U421" i="19"/>
  <c r="V421" i="19"/>
  <c r="W421" i="19"/>
  <c r="C422" i="19"/>
  <c r="D422" i="19"/>
  <c r="E422" i="19"/>
  <c r="F422" i="19"/>
  <c r="G422" i="19"/>
  <c r="H422" i="19"/>
  <c r="I422" i="19"/>
  <c r="J422" i="19"/>
  <c r="K422" i="19"/>
  <c r="L422" i="19"/>
  <c r="B424" i="19"/>
  <c r="D424" i="19"/>
  <c r="E424" i="19"/>
  <c r="F424" i="19"/>
  <c r="G424" i="19"/>
  <c r="H424" i="19"/>
  <c r="I424" i="19"/>
  <c r="J424" i="19"/>
  <c r="K424" i="19"/>
  <c r="L424" i="19"/>
  <c r="N424" i="19"/>
  <c r="O424" i="19"/>
  <c r="P424" i="19"/>
  <c r="Q424" i="19"/>
  <c r="R424" i="19"/>
  <c r="S424" i="19"/>
  <c r="T424" i="19"/>
  <c r="U424" i="19"/>
  <c r="V424" i="19"/>
  <c r="W424" i="19"/>
  <c r="C425" i="19"/>
  <c r="D425" i="19"/>
  <c r="E425" i="19"/>
  <c r="F425" i="19"/>
  <c r="G425" i="19"/>
  <c r="H425" i="19"/>
  <c r="I425" i="19"/>
  <c r="J425" i="19"/>
  <c r="K425" i="19"/>
  <c r="L425" i="19"/>
  <c r="B428" i="19"/>
  <c r="A428" i="19"/>
  <c r="C428" i="19"/>
  <c r="D428" i="19"/>
  <c r="E428" i="19"/>
  <c r="F428" i="19"/>
  <c r="G428" i="19"/>
  <c r="H428" i="19"/>
  <c r="I428" i="19"/>
  <c r="J428" i="19"/>
  <c r="K428" i="19"/>
  <c r="L428" i="19"/>
  <c r="N428" i="19"/>
  <c r="O428" i="19"/>
  <c r="P428" i="19"/>
  <c r="Q428" i="19"/>
  <c r="R428" i="19"/>
  <c r="S428" i="19"/>
  <c r="T428" i="19"/>
  <c r="U428" i="19"/>
  <c r="V428" i="19"/>
  <c r="W428" i="19"/>
  <c r="B429" i="19"/>
  <c r="A429" i="19"/>
  <c r="C429" i="19"/>
  <c r="D429" i="19"/>
  <c r="E429" i="19"/>
  <c r="F429" i="19"/>
  <c r="G429" i="19"/>
  <c r="H429" i="19"/>
  <c r="I429" i="19"/>
  <c r="J429" i="19"/>
  <c r="K429" i="19"/>
  <c r="L429" i="19"/>
  <c r="N429" i="19"/>
  <c r="O429" i="19"/>
  <c r="P429" i="19"/>
  <c r="Q429" i="19"/>
  <c r="R429" i="19"/>
  <c r="S429" i="19"/>
  <c r="T429" i="19"/>
  <c r="U429" i="19"/>
  <c r="V429" i="19"/>
  <c r="W429" i="19"/>
  <c r="B430" i="19"/>
  <c r="A430" i="19"/>
  <c r="C430" i="19"/>
  <c r="D430" i="19"/>
  <c r="E430" i="19"/>
  <c r="F430" i="19"/>
  <c r="G430" i="19"/>
  <c r="H430" i="19"/>
  <c r="I430" i="19"/>
  <c r="J430" i="19"/>
  <c r="K430" i="19"/>
  <c r="L430" i="19"/>
  <c r="N430" i="19"/>
  <c r="O430" i="19"/>
  <c r="P430" i="19"/>
  <c r="Q430" i="19"/>
  <c r="R430" i="19"/>
  <c r="S430" i="19"/>
  <c r="T430" i="19"/>
  <c r="U430" i="19"/>
  <c r="V430" i="19"/>
  <c r="W430" i="19"/>
  <c r="B431" i="19"/>
  <c r="A431" i="19"/>
  <c r="C431" i="19"/>
  <c r="D431" i="19"/>
  <c r="E431" i="19"/>
  <c r="F431" i="19"/>
  <c r="G431" i="19"/>
  <c r="H431" i="19"/>
  <c r="I431" i="19"/>
  <c r="J431" i="19"/>
  <c r="K431" i="19"/>
  <c r="L431" i="19"/>
  <c r="N431" i="19"/>
  <c r="O431" i="19"/>
  <c r="P431" i="19"/>
  <c r="Q431" i="19"/>
  <c r="R431" i="19"/>
  <c r="S431" i="19"/>
  <c r="T431" i="19"/>
  <c r="U431" i="19"/>
  <c r="V431" i="19"/>
  <c r="W431" i="19"/>
  <c r="B432" i="19"/>
  <c r="A432" i="19"/>
  <c r="C432" i="19"/>
  <c r="D432" i="19"/>
  <c r="E432" i="19"/>
  <c r="F432" i="19"/>
  <c r="G432" i="19"/>
  <c r="H432" i="19"/>
  <c r="I432" i="19"/>
  <c r="J432" i="19"/>
  <c r="K432" i="19"/>
  <c r="L432" i="19"/>
  <c r="N432" i="19"/>
  <c r="O432" i="19"/>
  <c r="P432" i="19"/>
  <c r="Q432" i="19"/>
  <c r="R432" i="19"/>
  <c r="S432" i="19"/>
  <c r="T432" i="19"/>
  <c r="U432" i="19"/>
  <c r="V432" i="19"/>
  <c r="W432" i="19"/>
  <c r="B433" i="19"/>
  <c r="A433" i="19"/>
  <c r="C433" i="19"/>
  <c r="D433" i="19"/>
  <c r="E433" i="19"/>
  <c r="F433" i="19"/>
  <c r="G433" i="19"/>
  <c r="H433" i="19"/>
  <c r="I433" i="19"/>
  <c r="J433" i="19"/>
  <c r="K433" i="19"/>
  <c r="L433" i="19"/>
  <c r="N433" i="19"/>
  <c r="O433" i="19"/>
  <c r="P433" i="19"/>
  <c r="Q433" i="19"/>
  <c r="R433" i="19"/>
  <c r="S433" i="19"/>
  <c r="T433" i="19"/>
  <c r="U433" i="19"/>
  <c r="V433" i="19"/>
  <c r="W433" i="19"/>
  <c r="B434" i="19"/>
  <c r="A434" i="19"/>
  <c r="C434" i="19"/>
  <c r="D434" i="19"/>
  <c r="E434" i="19"/>
  <c r="F434" i="19"/>
  <c r="G434" i="19"/>
  <c r="H434" i="19"/>
  <c r="I434" i="19"/>
  <c r="J434" i="19"/>
  <c r="K434" i="19"/>
  <c r="L434" i="19"/>
  <c r="N434" i="19"/>
  <c r="O434" i="19"/>
  <c r="P434" i="19"/>
  <c r="Q434" i="19"/>
  <c r="R434" i="19"/>
  <c r="S434" i="19"/>
  <c r="T434" i="19"/>
  <c r="U434" i="19"/>
  <c r="V434" i="19"/>
  <c r="W434" i="19"/>
  <c r="B435" i="19"/>
  <c r="A435" i="19"/>
  <c r="C435" i="19"/>
  <c r="D435" i="19"/>
  <c r="E435" i="19"/>
  <c r="F435" i="19"/>
  <c r="G435" i="19"/>
  <c r="H435" i="19"/>
  <c r="I435" i="19"/>
  <c r="J435" i="19"/>
  <c r="K435" i="19"/>
  <c r="L435" i="19"/>
  <c r="N435" i="19"/>
  <c r="O435" i="19"/>
  <c r="P435" i="19"/>
  <c r="Q435" i="19"/>
  <c r="R435" i="19"/>
  <c r="S435" i="19"/>
  <c r="T435" i="19"/>
  <c r="U435" i="19"/>
  <c r="V435" i="19"/>
  <c r="W435" i="19"/>
  <c r="B436" i="19"/>
  <c r="A436" i="19"/>
  <c r="C436" i="19"/>
  <c r="D436" i="19"/>
  <c r="E436" i="19"/>
  <c r="F436" i="19"/>
  <c r="G436" i="19"/>
  <c r="H436" i="19"/>
  <c r="I436" i="19"/>
  <c r="J436" i="19"/>
  <c r="K436" i="19"/>
  <c r="L436" i="19"/>
  <c r="N436" i="19"/>
  <c r="O436" i="19"/>
  <c r="P436" i="19"/>
  <c r="Q436" i="19"/>
  <c r="R436" i="19"/>
  <c r="S436" i="19"/>
  <c r="T436" i="19"/>
  <c r="U436" i="19"/>
  <c r="V436" i="19"/>
  <c r="W436" i="19"/>
  <c r="B437" i="19"/>
  <c r="C437" i="19"/>
  <c r="D437" i="19"/>
  <c r="E437" i="19"/>
  <c r="F437" i="19"/>
  <c r="G437" i="19"/>
  <c r="H437" i="19"/>
  <c r="I437" i="19"/>
  <c r="J437" i="19"/>
  <c r="K437" i="19"/>
  <c r="L437" i="19"/>
  <c r="N437" i="19"/>
  <c r="O437" i="19"/>
  <c r="P437" i="19"/>
  <c r="Q437" i="19"/>
  <c r="R437" i="19"/>
  <c r="S437" i="19"/>
  <c r="T437" i="19"/>
  <c r="U437" i="19"/>
  <c r="V437" i="19"/>
  <c r="W437" i="19"/>
  <c r="C438" i="19"/>
  <c r="D438" i="19"/>
  <c r="E438" i="19"/>
  <c r="F438" i="19"/>
  <c r="G438" i="19"/>
  <c r="H438" i="19"/>
  <c r="I438" i="19"/>
  <c r="J438" i="19"/>
  <c r="K438" i="19"/>
  <c r="L438" i="19"/>
  <c r="B440" i="19"/>
  <c r="D440" i="19"/>
  <c r="E440" i="19"/>
  <c r="F440" i="19"/>
  <c r="G440" i="19"/>
  <c r="H440" i="19"/>
  <c r="I440" i="19"/>
  <c r="J440" i="19"/>
  <c r="K440" i="19"/>
  <c r="L440" i="19"/>
  <c r="N440" i="19"/>
  <c r="O440" i="19"/>
  <c r="P440" i="19"/>
  <c r="Q440" i="19"/>
  <c r="R440" i="19"/>
  <c r="S440" i="19"/>
  <c r="T440" i="19"/>
  <c r="U440" i="19"/>
  <c r="V440" i="19"/>
  <c r="W440" i="19"/>
  <c r="C441" i="19"/>
  <c r="D441" i="19"/>
  <c r="E441" i="19"/>
  <c r="F441" i="19"/>
  <c r="G441" i="19"/>
  <c r="H441" i="19"/>
  <c r="I441" i="19"/>
  <c r="J441" i="19"/>
  <c r="K441" i="19"/>
  <c r="L441" i="19"/>
  <c r="B444" i="19"/>
  <c r="A444" i="19"/>
  <c r="C444" i="19"/>
  <c r="D444" i="19"/>
  <c r="E444" i="19"/>
  <c r="F444" i="19"/>
  <c r="G444" i="19"/>
  <c r="H444" i="19"/>
  <c r="I444" i="19"/>
  <c r="J444" i="19"/>
  <c r="K444" i="19"/>
  <c r="L444" i="19"/>
  <c r="N444" i="19"/>
  <c r="O444" i="19"/>
  <c r="P444" i="19"/>
  <c r="Q444" i="19"/>
  <c r="R444" i="19"/>
  <c r="S444" i="19"/>
  <c r="T444" i="19"/>
  <c r="U444" i="19"/>
  <c r="V444" i="19"/>
  <c r="W444" i="19"/>
  <c r="B445" i="19"/>
  <c r="A445" i="19"/>
  <c r="C445" i="19"/>
  <c r="D445" i="19"/>
  <c r="E445" i="19"/>
  <c r="F445" i="19"/>
  <c r="G445" i="19"/>
  <c r="H445" i="19"/>
  <c r="I445" i="19"/>
  <c r="J445" i="19"/>
  <c r="K445" i="19"/>
  <c r="L445" i="19"/>
  <c r="N445" i="19"/>
  <c r="O445" i="19"/>
  <c r="P445" i="19"/>
  <c r="Q445" i="19"/>
  <c r="R445" i="19"/>
  <c r="S445" i="19"/>
  <c r="T445" i="19"/>
  <c r="U445" i="19"/>
  <c r="V445" i="19"/>
  <c r="W445" i="19"/>
  <c r="B446" i="19"/>
  <c r="A446" i="19"/>
  <c r="C446" i="19"/>
  <c r="D446" i="19"/>
  <c r="E446" i="19"/>
  <c r="F446" i="19"/>
  <c r="G446" i="19"/>
  <c r="H446" i="19"/>
  <c r="I446" i="19"/>
  <c r="J446" i="19"/>
  <c r="K446" i="19"/>
  <c r="L446" i="19"/>
  <c r="N446" i="19"/>
  <c r="O446" i="19"/>
  <c r="P446" i="19"/>
  <c r="Q446" i="19"/>
  <c r="R446" i="19"/>
  <c r="S446" i="19"/>
  <c r="T446" i="19"/>
  <c r="U446" i="19"/>
  <c r="V446" i="19"/>
  <c r="W446" i="19"/>
  <c r="B447" i="19"/>
  <c r="A447" i="19"/>
  <c r="C447" i="19"/>
  <c r="D447" i="19"/>
  <c r="E447" i="19"/>
  <c r="F447" i="19"/>
  <c r="G447" i="19"/>
  <c r="H447" i="19"/>
  <c r="I447" i="19"/>
  <c r="J447" i="19"/>
  <c r="K447" i="19"/>
  <c r="L447" i="19"/>
  <c r="N447" i="19"/>
  <c r="O447" i="19"/>
  <c r="P447" i="19"/>
  <c r="Q447" i="19"/>
  <c r="R447" i="19"/>
  <c r="S447" i="19"/>
  <c r="T447" i="19"/>
  <c r="U447" i="19"/>
  <c r="V447" i="19"/>
  <c r="W447" i="19"/>
  <c r="B448" i="19"/>
  <c r="A448" i="19"/>
  <c r="C448" i="19"/>
  <c r="D448" i="19"/>
  <c r="E448" i="19"/>
  <c r="F448" i="19"/>
  <c r="G448" i="19"/>
  <c r="H448" i="19"/>
  <c r="I448" i="19"/>
  <c r="J448" i="19"/>
  <c r="K448" i="19"/>
  <c r="L448" i="19"/>
  <c r="N448" i="19"/>
  <c r="O448" i="19"/>
  <c r="P448" i="19"/>
  <c r="Q448" i="19"/>
  <c r="R448" i="19"/>
  <c r="S448" i="19"/>
  <c r="T448" i="19"/>
  <c r="U448" i="19"/>
  <c r="V448" i="19"/>
  <c r="W448" i="19"/>
  <c r="B449" i="19"/>
  <c r="A449" i="19"/>
  <c r="C449" i="19"/>
  <c r="D449" i="19"/>
  <c r="E449" i="19"/>
  <c r="F449" i="19"/>
  <c r="G449" i="19"/>
  <c r="H449" i="19"/>
  <c r="I449" i="19"/>
  <c r="J449" i="19"/>
  <c r="K449" i="19"/>
  <c r="L449" i="19"/>
  <c r="N449" i="19"/>
  <c r="O449" i="19"/>
  <c r="P449" i="19"/>
  <c r="Q449" i="19"/>
  <c r="R449" i="19"/>
  <c r="S449" i="19"/>
  <c r="T449" i="19"/>
  <c r="U449" i="19"/>
  <c r="V449" i="19"/>
  <c r="W449" i="19"/>
  <c r="B450" i="19"/>
  <c r="A450" i="19"/>
  <c r="C450" i="19"/>
  <c r="D450" i="19"/>
  <c r="E450" i="19"/>
  <c r="F450" i="19"/>
  <c r="G450" i="19"/>
  <c r="H450" i="19"/>
  <c r="I450" i="19"/>
  <c r="J450" i="19"/>
  <c r="K450" i="19"/>
  <c r="L450" i="19"/>
  <c r="N450" i="19"/>
  <c r="O450" i="19"/>
  <c r="P450" i="19"/>
  <c r="Q450" i="19"/>
  <c r="R450" i="19"/>
  <c r="S450" i="19"/>
  <c r="T450" i="19"/>
  <c r="U450" i="19"/>
  <c r="V450" i="19"/>
  <c r="W450" i="19"/>
  <c r="B451" i="19"/>
  <c r="A451" i="19"/>
  <c r="C451" i="19"/>
  <c r="D451" i="19"/>
  <c r="E451" i="19"/>
  <c r="F451" i="19"/>
  <c r="G451" i="19"/>
  <c r="H451" i="19"/>
  <c r="I451" i="19"/>
  <c r="J451" i="19"/>
  <c r="K451" i="19"/>
  <c r="L451" i="19"/>
  <c r="N451" i="19"/>
  <c r="O451" i="19"/>
  <c r="P451" i="19"/>
  <c r="Q451" i="19"/>
  <c r="R451" i="19"/>
  <c r="S451" i="19"/>
  <c r="T451" i="19"/>
  <c r="U451" i="19"/>
  <c r="V451" i="19"/>
  <c r="W451" i="19"/>
  <c r="B452" i="19"/>
  <c r="A452" i="19"/>
  <c r="C452" i="19"/>
  <c r="D452" i="19"/>
  <c r="E452" i="19"/>
  <c r="F452" i="19"/>
  <c r="G452" i="19"/>
  <c r="H452" i="19"/>
  <c r="I452" i="19"/>
  <c r="J452" i="19"/>
  <c r="K452" i="19"/>
  <c r="L452" i="19"/>
  <c r="N452" i="19"/>
  <c r="O452" i="19"/>
  <c r="P452" i="19"/>
  <c r="Q452" i="19"/>
  <c r="R452" i="19"/>
  <c r="S452" i="19"/>
  <c r="T452" i="19"/>
  <c r="U452" i="19"/>
  <c r="V452" i="19"/>
  <c r="W452" i="19"/>
  <c r="B453" i="19"/>
  <c r="C453" i="19"/>
  <c r="D453" i="19"/>
  <c r="E453" i="19"/>
  <c r="F453" i="19"/>
  <c r="G453" i="19"/>
  <c r="H453" i="19"/>
  <c r="I453" i="19"/>
  <c r="J453" i="19"/>
  <c r="K453" i="19"/>
  <c r="L453" i="19"/>
  <c r="N453" i="19"/>
  <c r="O453" i="19"/>
  <c r="P453" i="19"/>
  <c r="Q453" i="19"/>
  <c r="R453" i="19"/>
  <c r="S453" i="19"/>
  <c r="T453" i="19"/>
  <c r="U453" i="19"/>
  <c r="V453" i="19"/>
  <c r="W453" i="19"/>
  <c r="C454" i="19"/>
  <c r="D454" i="19"/>
  <c r="E454" i="19"/>
  <c r="F454" i="19"/>
  <c r="G454" i="19"/>
  <c r="H454" i="19"/>
  <c r="I454" i="19"/>
  <c r="J454" i="19"/>
  <c r="K454" i="19"/>
  <c r="L454" i="19"/>
  <c r="B456" i="19"/>
  <c r="D456" i="19"/>
  <c r="E456" i="19"/>
  <c r="F456" i="19"/>
  <c r="G456" i="19"/>
  <c r="H456" i="19"/>
  <c r="I456" i="19"/>
  <c r="J456" i="19"/>
  <c r="K456" i="19"/>
  <c r="L456" i="19"/>
  <c r="N456" i="19"/>
  <c r="O456" i="19"/>
  <c r="P456" i="19"/>
  <c r="Q456" i="19"/>
  <c r="R456" i="19"/>
  <c r="S456" i="19"/>
  <c r="T456" i="19"/>
  <c r="U456" i="19"/>
  <c r="V456" i="19"/>
  <c r="W456" i="19"/>
  <c r="C457" i="19"/>
  <c r="D457" i="19"/>
  <c r="E457" i="19"/>
  <c r="F457" i="19"/>
  <c r="G457" i="19"/>
  <c r="H457" i="19"/>
  <c r="I457" i="19"/>
  <c r="J457" i="19"/>
  <c r="K457" i="19"/>
  <c r="L457" i="19"/>
  <c r="B460" i="19"/>
  <c r="A460" i="19"/>
  <c r="C460" i="19"/>
  <c r="D460" i="19"/>
  <c r="E460" i="19"/>
  <c r="F460" i="19"/>
  <c r="G460" i="19"/>
  <c r="H460" i="19"/>
  <c r="I460" i="19"/>
  <c r="J460" i="19"/>
  <c r="K460" i="19"/>
  <c r="L460" i="19"/>
  <c r="N460" i="19"/>
  <c r="O460" i="19"/>
  <c r="P460" i="19"/>
  <c r="Q460" i="19"/>
  <c r="R460" i="19"/>
  <c r="S460" i="19"/>
  <c r="T460" i="19"/>
  <c r="U460" i="19"/>
  <c r="V460" i="19"/>
  <c r="W460" i="19"/>
  <c r="B461" i="19"/>
  <c r="A461" i="19"/>
  <c r="C461" i="19"/>
  <c r="D461" i="19"/>
  <c r="E461" i="19"/>
  <c r="F461" i="19"/>
  <c r="G461" i="19"/>
  <c r="H461" i="19"/>
  <c r="I461" i="19"/>
  <c r="J461" i="19"/>
  <c r="K461" i="19"/>
  <c r="L461" i="19"/>
  <c r="N461" i="19"/>
  <c r="O461" i="19"/>
  <c r="P461" i="19"/>
  <c r="Q461" i="19"/>
  <c r="R461" i="19"/>
  <c r="S461" i="19"/>
  <c r="T461" i="19"/>
  <c r="U461" i="19"/>
  <c r="V461" i="19"/>
  <c r="W461" i="19"/>
  <c r="B462" i="19"/>
  <c r="A462" i="19"/>
  <c r="C462" i="19"/>
  <c r="D462" i="19"/>
  <c r="E462" i="19"/>
  <c r="F462" i="19"/>
  <c r="G462" i="19"/>
  <c r="H462" i="19"/>
  <c r="I462" i="19"/>
  <c r="J462" i="19"/>
  <c r="K462" i="19"/>
  <c r="L462" i="19"/>
  <c r="N462" i="19"/>
  <c r="O462" i="19"/>
  <c r="P462" i="19"/>
  <c r="Q462" i="19"/>
  <c r="R462" i="19"/>
  <c r="S462" i="19"/>
  <c r="T462" i="19"/>
  <c r="U462" i="19"/>
  <c r="V462" i="19"/>
  <c r="W462" i="19"/>
  <c r="B463" i="19"/>
  <c r="A463" i="19"/>
  <c r="C463" i="19"/>
  <c r="D463" i="19"/>
  <c r="E463" i="19"/>
  <c r="F463" i="19"/>
  <c r="G463" i="19"/>
  <c r="H463" i="19"/>
  <c r="I463" i="19"/>
  <c r="J463" i="19"/>
  <c r="K463" i="19"/>
  <c r="L463" i="19"/>
  <c r="N463" i="19"/>
  <c r="O463" i="19"/>
  <c r="P463" i="19"/>
  <c r="Q463" i="19"/>
  <c r="R463" i="19"/>
  <c r="S463" i="19"/>
  <c r="T463" i="19"/>
  <c r="U463" i="19"/>
  <c r="V463" i="19"/>
  <c r="W463" i="19"/>
  <c r="B464" i="19"/>
  <c r="A464" i="19"/>
  <c r="C464" i="19"/>
  <c r="D464" i="19"/>
  <c r="E464" i="19"/>
  <c r="F464" i="19"/>
  <c r="G464" i="19"/>
  <c r="H464" i="19"/>
  <c r="I464" i="19"/>
  <c r="J464" i="19"/>
  <c r="K464" i="19"/>
  <c r="L464" i="19"/>
  <c r="N464" i="19"/>
  <c r="O464" i="19"/>
  <c r="P464" i="19"/>
  <c r="Q464" i="19"/>
  <c r="R464" i="19"/>
  <c r="S464" i="19"/>
  <c r="T464" i="19"/>
  <c r="U464" i="19"/>
  <c r="V464" i="19"/>
  <c r="W464" i="19"/>
  <c r="B465" i="19"/>
  <c r="A465" i="19"/>
  <c r="C465" i="19"/>
  <c r="D465" i="19"/>
  <c r="E465" i="19"/>
  <c r="F465" i="19"/>
  <c r="G465" i="19"/>
  <c r="H465" i="19"/>
  <c r="I465" i="19"/>
  <c r="J465" i="19"/>
  <c r="K465" i="19"/>
  <c r="L465" i="19"/>
  <c r="N465" i="19"/>
  <c r="O465" i="19"/>
  <c r="P465" i="19"/>
  <c r="Q465" i="19"/>
  <c r="R465" i="19"/>
  <c r="S465" i="19"/>
  <c r="T465" i="19"/>
  <c r="U465" i="19"/>
  <c r="V465" i="19"/>
  <c r="W465" i="19"/>
  <c r="B466" i="19"/>
  <c r="A466" i="19"/>
  <c r="C466" i="19"/>
  <c r="D466" i="19"/>
  <c r="E466" i="19"/>
  <c r="F466" i="19"/>
  <c r="G466" i="19"/>
  <c r="H466" i="19"/>
  <c r="I466" i="19"/>
  <c r="J466" i="19"/>
  <c r="K466" i="19"/>
  <c r="L466" i="19"/>
  <c r="N466" i="19"/>
  <c r="O466" i="19"/>
  <c r="P466" i="19"/>
  <c r="Q466" i="19"/>
  <c r="R466" i="19"/>
  <c r="S466" i="19"/>
  <c r="T466" i="19"/>
  <c r="U466" i="19"/>
  <c r="V466" i="19"/>
  <c r="W466" i="19"/>
  <c r="B467" i="19"/>
  <c r="A467" i="19"/>
  <c r="C467" i="19"/>
  <c r="D467" i="19"/>
  <c r="E467" i="19"/>
  <c r="F467" i="19"/>
  <c r="G467" i="19"/>
  <c r="H467" i="19"/>
  <c r="I467" i="19"/>
  <c r="J467" i="19"/>
  <c r="K467" i="19"/>
  <c r="L467" i="19"/>
  <c r="N467" i="19"/>
  <c r="O467" i="19"/>
  <c r="P467" i="19"/>
  <c r="Q467" i="19"/>
  <c r="R467" i="19"/>
  <c r="S467" i="19"/>
  <c r="T467" i="19"/>
  <c r="U467" i="19"/>
  <c r="V467" i="19"/>
  <c r="W467" i="19"/>
  <c r="B468" i="19"/>
  <c r="A468" i="19"/>
  <c r="C468" i="19"/>
  <c r="D468" i="19"/>
  <c r="E468" i="19"/>
  <c r="F468" i="19"/>
  <c r="G468" i="19"/>
  <c r="H468" i="19"/>
  <c r="I468" i="19"/>
  <c r="J468" i="19"/>
  <c r="K468" i="19"/>
  <c r="L468" i="19"/>
  <c r="N468" i="19"/>
  <c r="O468" i="19"/>
  <c r="P468" i="19"/>
  <c r="Q468" i="19"/>
  <c r="R468" i="19"/>
  <c r="S468" i="19"/>
  <c r="T468" i="19"/>
  <c r="U468" i="19"/>
  <c r="V468" i="19"/>
  <c r="W468" i="19"/>
  <c r="B469" i="19"/>
  <c r="C469" i="19"/>
  <c r="D469" i="19"/>
  <c r="E469" i="19"/>
  <c r="F469" i="19"/>
  <c r="G469" i="19"/>
  <c r="H469" i="19"/>
  <c r="I469" i="19"/>
  <c r="J469" i="19"/>
  <c r="K469" i="19"/>
  <c r="L469" i="19"/>
  <c r="N469" i="19"/>
  <c r="O469" i="19"/>
  <c r="P469" i="19"/>
  <c r="Q469" i="19"/>
  <c r="R469" i="19"/>
  <c r="S469" i="19"/>
  <c r="T469" i="19"/>
  <c r="U469" i="19"/>
  <c r="V469" i="19"/>
  <c r="W469" i="19"/>
  <c r="C470" i="19"/>
  <c r="D470" i="19"/>
  <c r="E470" i="19"/>
  <c r="F470" i="19"/>
  <c r="G470" i="19"/>
  <c r="H470" i="19"/>
  <c r="I470" i="19"/>
  <c r="J470" i="19"/>
  <c r="K470" i="19"/>
  <c r="L470" i="19"/>
  <c r="B472" i="19"/>
  <c r="D472" i="19"/>
  <c r="E472" i="19"/>
  <c r="F472" i="19"/>
  <c r="G472" i="19"/>
  <c r="H472" i="19"/>
  <c r="I472" i="19"/>
  <c r="J472" i="19"/>
  <c r="K472" i="19"/>
  <c r="L472" i="19"/>
  <c r="N472" i="19"/>
  <c r="O472" i="19"/>
  <c r="P472" i="19"/>
  <c r="Q472" i="19"/>
  <c r="R472" i="19"/>
  <c r="S472" i="19"/>
  <c r="T472" i="19"/>
  <c r="U472" i="19"/>
  <c r="V472" i="19"/>
  <c r="W472" i="19"/>
  <c r="C473" i="19"/>
  <c r="D473" i="19"/>
  <c r="E473" i="19"/>
  <c r="F473" i="19"/>
  <c r="G473" i="19"/>
  <c r="H473" i="19"/>
  <c r="I473" i="19"/>
  <c r="J473" i="19"/>
  <c r="K473" i="19"/>
  <c r="L473" i="19"/>
  <c r="B476" i="19"/>
  <c r="A476" i="19"/>
  <c r="C476" i="19"/>
  <c r="D476" i="19"/>
  <c r="E476" i="19"/>
  <c r="F476" i="19"/>
  <c r="G476" i="19"/>
  <c r="H476" i="19"/>
  <c r="I476" i="19"/>
  <c r="J476" i="19"/>
  <c r="K476" i="19"/>
  <c r="L476" i="19"/>
  <c r="N476" i="19"/>
  <c r="O476" i="19"/>
  <c r="P476" i="19"/>
  <c r="Q476" i="19"/>
  <c r="R476" i="19"/>
  <c r="S476" i="19"/>
  <c r="T476" i="19"/>
  <c r="U476" i="19"/>
  <c r="V476" i="19"/>
  <c r="W476" i="19"/>
  <c r="B477" i="19"/>
  <c r="A477" i="19"/>
  <c r="C477" i="19"/>
  <c r="D477" i="19"/>
  <c r="E477" i="19"/>
  <c r="F477" i="19"/>
  <c r="G477" i="19"/>
  <c r="H477" i="19"/>
  <c r="I477" i="19"/>
  <c r="J477" i="19"/>
  <c r="K477" i="19"/>
  <c r="L477" i="19"/>
  <c r="N477" i="19"/>
  <c r="O477" i="19"/>
  <c r="P477" i="19"/>
  <c r="Q477" i="19"/>
  <c r="R477" i="19"/>
  <c r="S477" i="19"/>
  <c r="T477" i="19"/>
  <c r="U477" i="19"/>
  <c r="V477" i="19"/>
  <c r="W477" i="19"/>
  <c r="B478" i="19"/>
  <c r="A478" i="19"/>
  <c r="C478" i="19"/>
  <c r="D478" i="19"/>
  <c r="E478" i="19"/>
  <c r="F478" i="19"/>
  <c r="G478" i="19"/>
  <c r="H478" i="19"/>
  <c r="I478" i="19"/>
  <c r="J478" i="19"/>
  <c r="K478" i="19"/>
  <c r="L478" i="19"/>
  <c r="N478" i="19"/>
  <c r="O478" i="19"/>
  <c r="P478" i="19"/>
  <c r="Q478" i="19"/>
  <c r="R478" i="19"/>
  <c r="S478" i="19"/>
  <c r="T478" i="19"/>
  <c r="U478" i="19"/>
  <c r="V478" i="19"/>
  <c r="W478" i="19"/>
  <c r="B479" i="19"/>
  <c r="A479" i="19"/>
  <c r="C479" i="19"/>
  <c r="D479" i="19"/>
  <c r="E479" i="19"/>
  <c r="F479" i="19"/>
  <c r="G479" i="19"/>
  <c r="H479" i="19"/>
  <c r="I479" i="19"/>
  <c r="J479" i="19"/>
  <c r="K479" i="19"/>
  <c r="L479" i="19"/>
  <c r="N479" i="19"/>
  <c r="O479" i="19"/>
  <c r="P479" i="19"/>
  <c r="Q479" i="19"/>
  <c r="R479" i="19"/>
  <c r="S479" i="19"/>
  <c r="T479" i="19"/>
  <c r="U479" i="19"/>
  <c r="V479" i="19"/>
  <c r="W479" i="19"/>
  <c r="B480" i="19"/>
  <c r="A480" i="19"/>
  <c r="C480" i="19"/>
  <c r="D480" i="19"/>
  <c r="E480" i="19"/>
  <c r="F480" i="19"/>
  <c r="G480" i="19"/>
  <c r="H480" i="19"/>
  <c r="I480" i="19"/>
  <c r="J480" i="19"/>
  <c r="K480" i="19"/>
  <c r="L480" i="19"/>
  <c r="N480" i="19"/>
  <c r="O480" i="19"/>
  <c r="P480" i="19"/>
  <c r="Q480" i="19"/>
  <c r="R480" i="19"/>
  <c r="S480" i="19"/>
  <c r="T480" i="19"/>
  <c r="U480" i="19"/>
  <c r="V480" i="19"/>
  <c r="W480" i="19"/>
  <c r="B481" i="19"/>
  <c r="A481" i="19"/>
  <c r="C481" i="19"/>
  <c r="D481" i="19"/>
  <c r="E481" i="19"/>
  <c r="F481" i="19"/>
  <c r="G481" i="19"/>
  <c r="H481" i="19"/>
  <c r="I481" i="19"/>
  <c r="J481" i="19"/>
  <c r="K481" i="19"/>
  <c r="L481" i="19"/>
  <c r="N481" i="19"/>
  <c r="O481" i="19"/>
  <c r="P481" i="19"/>
  <c r="Q481" i="19"/>
  <c r="R481" i="19"/>
  <c r="S481" i="19"/>
  <c r="T481" i="19"/>
  <c r="U481" i="19"/>
  <c r="V481" i="19"/>
  <c r="W481" i="19"/>
  <c r="B482" i="19"/>
  <c r="A482" i="19"/>
  <c r="C482" i="19"/>
  <c r="D482" i="19"/>
  <c r="E482" i="19"/>
  <c r="F482" i="19"/>
  <c r="G482" i="19"/>
  <c r="H482" i="19"/>
  <c r="I482" i="19"/>
  <c r="J482" i="19"/>
  <c r="K482" i="19"/>
  <c r="L482" i="19"/>
  <c r="N482" i="19"/>
  <c r="O482" i="19"/>
  <c r="P482" i="19"/>
  <c r="Q482" i="19"/>
  <c r="R482" i="19"/>
  <c r="S482" i="19"/>
  <c r="T482" i="19"/>
  <c r="U482" i="19"/>
  <c r="V482" i="19"/>
  <c r="W482" i="19"/>
  <c r="B483" i="19"/>
  <c r="A483" i="19"/>
  <c r="C483" i="19"/>
  <c r="D483" i="19"/>
  <c r="E483" i="19"/>
  <c r="F483" i="19"/>
  <c r="G483" i="19"/>
  <c r="H483" i="19"/>
  <c r="I483" i="19"/>
  <c r="J483" i="19"/>
  <c r="K483" i="19"/>
  <c r="L483" i="19"/>
  <c r="N483" i="19"/>
  <c r="O483" i="19"/>
  <c r="P483" i="19"/>
  <c r="Q483" i="19"/>
  <c r="R483" i="19"/>
  <c r="S483" i="19"/>
  <c r="T483" i="19"/>
  <c r="U483" i="19"/>
  <c r="V483" i="19"/>
  <c r="W483" i="19"/>
  <c r="B484" i="19"/>
  <c r="A484" i="19"/>
  <c r="C484" i="19"/>
  <c r="D484" i="19"/>
  <c r="E484" i="19"/>
  <c r="F484" i="19"/>
  <c r="G484" i="19"/>
  <c r="H484" i="19"/>
  <c r="I484" i="19"/>
  <c r="J484" i="19"/>
  <c r="K484" i="19"/>
  <c r="L484" i="19"/>
  <c r="N484" i="19"/>
  <c r="O484" i="19"/>
  <c r="P484" i="19"/>
  <c r="Q484" i="19"/>
  <c r="R484" i="19"/>
  <c r="S484" i="19"/>
  <c r="T484" i="19"/>
  <c r="U484" i="19"/>
  <c r="V484" i="19"/>
  <c r="W484" i="19"/>
  <c r="B485" i="19"/>
  <c r="C485" i="19"/>
  <c r="D485" i="19"/>
  <c r="E485" i="19"/>
  <c r="F485" i="19"/>
  <c r="G485" i="19"/>
  <c r="H485" i="19"/>
  <c r="I485" i="19"/>
  <c r="J485" i="19"/>
  <c r="K485" i="19"/>
  <c r="L485" i="19"/>
  <c r="N485" i="19"/>
  <c r="O485" i="19"/>
  <c r="P485" i="19"/>
  <c r="Q485" i="19"/>
  <c r="R485" i="19"/>
  <c r="S485" i="19"/>
  <c r="T485" i="19"/>
  <c r="U485" i="19"/>
  <c r="V485" i="19"/>
  <c r="W485" i="19"/>
  <c r="C486" i="19"/>
  <c r="D486" i="19"/>
  <c r="E486" i="19"/>
  <c r="F486" i="19"/>
  <c r="G486" i="19"/>
  <c r="H486" i="19"/>
  <c r="I486" i="19"/>
  <c r="J486" i="19"/>
  <c r="K486" i="19"/>
  <c r="L486" i="19"/>
  <c r="B488" i="19"/>
  <c r="D488" i="19"/>
  <c r="E488" i="19"/>
  <c r="F488" i="19"/>
  <c r="G488" i="19"/>
  <c r="H488" i="19"/>
  <c r="I488" i="19"/>
  <c r="J488" i="19"/>
  <c r="K488" i="19"/>
  <c r="L488" i="19"/>
  <c r="N488" i="19"/>
  <c r="O488" i="19"/>
  <c r="P488" i="19"/>
  <c r="Q488" i="19"/>
  <c r="R488" i="19"/>
  <c r="S488" i="19"/>
  <c r="T488" i="19"/>
  <c r="U488" i="19"/>
  <c r="V488" i="19"/>
  <c r="W488" i="19"/>
  <c r="C489" i="19"/>
  <c r="D489" i="19"/>
  <c r="E489" i="19"/>
  <c r="F489" i="19"/>
  <c r="G489" i="19"/>
  <c r="H489" i="19"/>
  <c r="I489" i="19"/>
  <c r="J489" i="19"/>
  <c r="K489" i="19"/>
  <c r="L489" i="19"/>
  <c r="B492" i="19"/>
  <c r="A492" i="19"/>
  <c r="C492" i="19"/>
  <c r="D492" i="19"/>
  <c r="E492" i="19"/>
  <c r="F492" i="19"/>
  <c r="G492" i="19"/>
  <c r="H492" i="19"/>
  <c r="I492" i="19"/>
  <c r="J492" i="19"/>
  <c r="K492" i="19"/>
  <c r="L492" i="19"/>
  <c r="N492" i="19"/>
  <c r="O492" i="19"/>
  <c r="P492" i="19"/>
  <c r="Q492" i="19"/>
  <c r="R492" i="19"/>
  <c r="S492" i="19"/>
  <c r="T492" i="19"/>
  <c r="U492" i="19"/>
  <c r="V492" i="19"/>
  <c r="W492" i="19"/>
  <c r="B493" i="19"/>
  <c r="A493" i="19"/>
  <c r="C493" i="19"/>
  <c r="D493" i="19"/>
  <c r="E493" i="19"/>
  <c r="F493" i="19"/>
  <c r="G493" i="19"/>
  <c r="H493" i="19"/>
  <c r="I493" i="19"/>
  <c r="J493" i="19"/>
  <c r="K493" i="19"/>
  <c r="L493" i="19"/>
  <c r="N493" i="19"/>
  <c r="O493" i="19"/>
  <c r="P493" i="19"/>
  <c r="Q493" i="19"/>
  <c r="R493" i="19"/>
  <c r="S493" i="19"/>
  <c r="T493" i="19"/>
  <c r="U493" i="19"/>
  <c r="V493" i="19"/>
  <c r="W493" i="19"/>
  <c r="B494" i="19"/>
  <c r="A494" i="19"/>
  <c r="C494" i="19"/>
  <c r="D494" i="19"/>
  <c r="E494" i="19"/>
  <c r="F494" i="19"/>
  <c r="G494" i="19"/>
  <c r="H494" i="19"/>
  <c r="I494" i="19"/>
  <c r="J494" i="19"/>
  <c r="K494" i="19"/>
  <c r="L494" i="19"/>
  <c r="N494" i="19"/>
  <c r="O494" i="19"/>
  <c r="P494" i="19"/>
  <c r="Q494" i="19"/>
  <c r="R494" i="19"/>
  <c r="S494" i="19"/>
  <c r="T494" i="19"/>
  <c r="U494" i="19"/>
  <c r="V494" i="19"/>
  <c r="W494" i="19"/>
  <c r="B495" i="19"/>
  <c r="A495" i="19"/>
  <c r="C495" i="19"/>
  <c r="D495" i="19"/>
  <c r="E495" i="19"/>
  <c r="F495" i="19"/>
  <c r="G495" i="19"/>
  <c r="H495" i="19"/>
  <c r="I495" i="19"/>
  <c r="J495" i="19"/>
  <c r="K495" i="19"/>
  <c r="L495" i="19"/>
  <c r="N495" i="19"/>
  <c r="O495" i="19"/>
  <c r="P495" i="19"/>
  <c r="Q495" i="19"/>
  <c r="R495" i="19"/>
  <c r="S495" i="19"/>
  <c r="T495" i="19"/>
  <c r="U495" i="19"/>
  <c r="V495" i="19"/>
  <c r="W495" i="19"/>
  <c r="B496" i="19"/>
  <c r="A496" i="19"/>
  <c r="C496" i="19"/>
  <c r="D496" i="19"/>
  <c r="E496" i="19"/>
  <c r="F496" i="19"/>
  <c r="G496" i="19"/>
  <c r="H496" i="19"/>
  <c r="I496" i="19"/>
  <c r="J496" i="19"/>
  <c r="K496" i="19"/>
  <c r="L496" i="19"/>
  <c r="N496" i="19"/>
  <c r="O496" i="19"/>
  <c r="P496" i="19"/>
  <c r="Q496" i="19"/>
  <c r="R496" i="19"/>
  <c r="S496" i="19"/>
  <c r="T496" i="19"/>
  <c r="U496" i="19"/>
  <c r="V496" i="19"/>
  <c r="W496" i="19"/>
  <c r="B497" i="19"/>
  <c r="A497" i="19"/>
  <c r="C497" i="19"/>
  <c r="D497" i="19"/>
  <c r="E497" i="19"/>
  <c r="F497" i="19"/>
  <c r="G497" i="19"/>
  <c r="H497" i="19"/>
  <c r="I497" i="19"/>
  <c r="J497" i="19"/>
  <c r="K497" i="19"/>
  <c r="L497" i="19"/>
  <c r="N497" i="19"/>
  <c r="O497" i="19"/>
  <c r="P497" i="19"/>
  <c r="Q497" i="19"/>
  <c r="R497" i="19"/>
  <c r="S497" i="19"/>
  <c r="T497" i="19"/>
  <c r="U497" i="19"/>
  <c r="V497" i="19"/>
  <c r="W497" i="19"/>
  <c r="B498" i="19"/>
  <c r="A498" i="19"/>
  <c r="C498" i="19"/>
  <c r="D498" i="19"/>
  <c r="E498" i="19"/>
  <c r="F498" i="19"/>
  <c r="G498" i="19"/>
  <c r="H498" i="19"/>
  <c r="I498" i="19"/>
  <c r="J498" i="19"/>
  <c r="K498" i="19"/>
  <c r="L498" i="19"/>
  <c r="N498" i="19"/>
  <c r="O498" i="19"/>
  <c r="P498" i="19"/>
  <c r="Q498" i="19"/>
  <c r="R498" i="19"/>
  <c r="S498" i="19"/>
  <c r="T498" i="19"/>
  <c r="U498" i="19"/>
  <c r="V498" i="19"/>
  <c r="W498" i="19"/>
  <c r="B499" i="19"/>
  <c r="A499" i="19"/>
  <c r="C499" i="19"/>
  <c r="D499" i="19"/>
  <c r="E499" i="19"/>
  <c r="F499" i="19"/>
  <c r="G499" i="19"/>
  <c r="H499" i="19"/>
  <c r="I499" i="19"/>
  <c r="J499" i="19"/>
  <c r="K499" i="19"/>
  <c r="L499" i="19"/>
  <c r="N499" i="19"/>
  <c r="O499" i="19"/>
  <c r="P499" i="19"/>
  <c r="Q499" i="19"/>
  <c r="R499" i="19"/>
  <c r="S499" i="19"/>
  <c r="T499" i="19"/>
  <c r="U499" i="19"/>
  <c r="V499" i="19"/>
  <c r="W499" i="19"/>
  <c r="B500" i="19"/>
  <c r="A500" i="19"/>
  <c r="C500" i="19"/>
  <c r="D500" i="19"/>
  <c r="E500" i="19"/>
  <c r="F500" i="19"/>
  <c r="G500" i="19"/>
  <c r="H500" i="19"/>
  <c r="I500" i="19"/>
  <c r="J500" i="19"/>
  <c r="K500" i="19"/>
  <c r="L500" i="19"/>
  <c r="N500" i="19"/>
  <c r="O500" i="19"/>
  <c r="P500" i="19"/>
  <c r="Q500" i="19"/>
  <c r="R500" i="19"/>
  <c r="S500" i="19"/>
  <c r="T500" i="19"/>
  <c r="U500" i="19"/>
  <c r="V500" i="19"/>
  <c r="W500" i="19"/>
  <c r="B501" i="19"/>
  <c r="C501" i="19"/>
  <c r="D501" i="19"/>
  <c r="E501" i="19"/>
  <c r="F501" i="19"/>
  <c r="G501" i="19"/>
  <c r="H501" i="19"/>
  <c r="I501" i="19"/>
  <c r="J501" i="19"/>
  <c r="K501" i="19"/>
  <c r="L501" i="19"/>
  <c r="N501" i="19"/>
  <c r="O501" i="19"/>
  <c r="P501" i="19"/>
  <c r="Q501" i="19"/>
  <c r="R501" i="19"/>
  <c r="S501" i="19"/>
  <c r="T501" i="19"/>
  <c r="U501" i="19"/>
  <c r="V501" i="19"/>
  <c r="W501" i="19"/>
  <c r="C502" i="19"/>
  <c r="D502" i="19"/>
  <c r="E502" i="19"/>
  <c r="F502" i="19"/>
  <c r="G502" i="19"/>
  <c r="H502" i="19"/>
  <c r="I502" i="19"/>
  <c r="J502" i="19"/>
  <c r="K502" i="19"/>
  <c r="L502" i="19"/>
  <c r="B504" i="19"/>
  <c r="D504" i="19"/>
  <c r="E504" i="19"/>
  <c r="F504" i="19"/>
  <c r="G504" i="19"/>
  <c r="H504" i="19"/>
  <c r="I504" i="19"/>
  <c r="J504" i="19"/>
  <c r="K504" i="19"/>
  <c r="L504" i="19"/>
  <c r="N504" i="19"/>
  <c r="O504" i="19"/>
  <c r="P504" i="19"/>
  <c r="Q504" i="19"/>
  <c r="R504" i="19"/>
  <c r="S504" i="19"/>
  <c r="T504" i="19"/>
  <c r="U504" i="19"/>
  <c r="V504" i="19"/>
  <c r="W504" i="19"/>
  <c r="C505" i="19"/>
  <c r="D505" i="19"/>
  <c r="E505" i="19"/>
  <c r="F505" i="19"/>
  <c r="G505" i="19"/>
  <c r="H505" i="19"/>
  <c r="I505" i="19"/>
  <c r="J505" i="19"/>
  <c r="K505" i="19"/>
  <c r="L505" i="19"/>
  <c r="B508" i="19"/>
  <c r="A508" i="19"/>
  <c r="C508" i="19"/>
  <c r="D508" i="19"/>
  <c r="E508" i="19"/>
  <c r="F508" i="19"/>
  <c r="G508" i="19"/>
  <c r="H508" i="19"/>
  <c r="I508" i="19"/>
  <c r="J508" i="19"/>
  <c r="K508" i="19"/>
  <c r="L508" i="19"/>
  <c r="N508" i="19"/>
  <c r="O508" i="19"/>
  <c r="P508" i="19"/>
  <c r="Q508" i="19"/>
  <c r="R508" i="19"/>
  <c r="S508" i="19"/>
  <c r="T508" i="19"/>
  <c r="U508" i="19"/>
  <c r="V508" i="19"/>
  <c r="W508" i="19"/>
  <c r="B509" i="19"/>
  <c r="A509" i="19"/>
  <c r="C509" i="19"/>
  <c r="D509" i="19"/>
  <c r="E509" i="19"/>
  <c r="F509" i="19"/>
  <c r="G509" i="19"/>
  <c r="H509" i="19"/>
  <c r="I509" i="19"/>
  <c r="J509" i="19"/>
  <c r="K509" i="19"/>
  <c r="L509" i="19"/>
  <c r="N509" i="19"/>
  <c r="O509" i="19"/>
  <c r="P509" i="19"/>
  <c r="Q509" i="19"/>
  <c r="R509" i="19"/>
  <c r="S509" i="19"/>
  <c r="T509" i="19"/>
  <c r="U509" i="19"/>
  <c r="V509" i="19"/>
  <c r="W509" i="19"/>
  <c r="B510" i="19"/>
  <c r="A510" i="19"/>
  <c r="C510" i="19"/>
  <c r="D510" i="19"/>
  <c r="E510" i="19"/>
  <c r="F510" i="19"/>
  <c r="G510" i="19"/>
  <c r="H510" i="19"/>
  <c r="I510" i="19"/>
  <c r="J510" i="19"/>
  <c r="K510" i="19"/>
  <c r="L510" i="19"/>
  <c r="N510" i="19"/>
  <c r="O510" i="19"/>
  <c r="P510" i="19"/>
  <c r="Q510" i="19"/>
  <c r="R510" i="19"/>
  <c r="S510" i="19"/>
  <c r="T510" i="19"/>
  <c r="U510" i="19"/>
  <c r="V510" i="19"/>
  <c r="W510" i="19"/>
  <c r="B511" i="19"/>
  <c r="A511" i="19"/>
  <c r="C511" i="19"/>
  <c r="D511" i="19"/>
  <c r="E511" i="19"/>
  <c r="F511" i="19"/>
  <c r="G511" i="19"/>
  <c r="H511" i="19"/>
  <c r="I511" i="19"/>
  <c r="J511" i="19"/>
  <c r="K511" i="19"/>
  <c r="L511" i="19"/>
  <c r="N511" i="19"/>
  <c r="O511" i="19"/>
  <c r="P511" i="19"/>
  <c r="Q511" i="19"/>
  <c r="R511" i="19"/>
  <c r="S511" i="19"/>
  <c r="T511" i="19"/>
  <c r="U511" i="19"/>
  <c r="V511" i="19"/>
  <c r="W511" i="19"/>
  <c r="B512" i="19"/>
  <c r="A512" i="19"/>
  <c r="C512" i="19"/>
  <c r="D512" i="19"/>
  <c r="E512" i="19"/>
  <c r="F512" i="19"/>
  <c r="G512" i="19"/>
  <c r="H512" i="19"/>
  <c r="I512" i="19"/>
  <c r="J512" i="19"/>
  <c r="K512" i="19"/>
  <c r="L512" i="19"/>
  <c r="N512" i="19"/>
  <c r="O512" i="19"/>
  <c r="P512" i="19"/>
  <c r="Q512" i="19"/>
  <c r="R512" i="19"/>
  <c r="S512" i="19"/>
  <c r="T512" i="19"/>
  <c r="U512" i="19"/>
  <c r="V512" i="19"/>
  <c r="W512" i="19"/>
  <c r="B513" i="19"/>
  <c r="A513" i="19"/>
  <c r="C513" i="19"/>
  <c r="D513" i="19"/>
  <c r="E513" i="19"/>
  <c r="F513" i="19"/>
  <c r="G513" i="19"/>
  <c r="H513" i="19"/>
  <c r="I513" i="19"/>
  <c r="J513" i="19"/>
  <c r="K513" i="19"/>
  <c r="L513" i="19"/>
  <c r="N513" i="19"/>
  <c r="O513" i="19"/>
  <c r="P513" i="19"/>
  <c r="Q513" i="19"/>
  <c r="R513" i="19"/>
  <c r="S513" i="19"/>
  <c r="T513" i="19"/>
  <c r="U513" i="19"/>
  <c r="V513" i="19"/>
  <c r="W513" i="19"/>
  <c r="B514" i="19"/>
  <c r="A514" i="19"/>
  <c r="C514" i="19"/>
  <c r="D514" i="19"/>
  <c r="E514" i="19"/>
  <c r="F514" i="19"/>
  <c r="G514" i="19"/>
  <c r="H514" i="19"/>
  <c r="I514" i="19"/>
  <c r="J514" i="19"/>
  <c r="K514" i="19"/>
  <c r="L514" i="19"/>
  <c r="N514" i="19"/>
  <c r="O514" i="19"/>
  <c r="P514" i="19"/>
  <c r="Q514" i="19"/>
  <c r="R514" i="19"/>
  <c r="S514" i="19"/>
  <c r="T514" i="19"/>
  <c r="U514" i="19"/>
  <c r="V514" i="19"/>
  <c r="W514" i="19"/>
  <c r="B515" i="19"/>
  <c r="A515" i="19"/>
  <c r="C515" i="19"/>
  <c r="D515" i="19"/>
  <c r="E515" i="19"/>
  <c r="F515" i="19"/>
  <c r="G515" i="19"/>
  <c r="H515" i="19"/>
  <c r="I515" i="19"/>
  <c r="J515" i="19"/>
  <c r="K515" i="19"/>
  <c r="L515" i="19"/>
  <c r="N515" i="19"/>
  <c r="O515" i="19"/>
  <c r="P515" i="19"/>
  <c r="Q515" i="19"/>
  <c r="R515" i="19"/>
  <c r="S515" i="19"/>
  <c r="T515" i="19"/>
  <c r="U515" i="19"/>
  <c r="V515" i="19"/>
  <c r="W515" i="19"/>
  <c r="B516" i="19"/>
  <c r="A516" i="19"/>
  <c r="C516" i="19"/>
  <c r="D516" i="19"/>
  <c r="E516" i="19"/>
  <c r="F516" i="19"/>
  <c r="G516" i="19"/>
  <c r="H516" i="19"/>
  <c r="I516" i="19"/>
  <c r="J516" i="19"/>
  <c r="K516" i="19"/>
  <c r="L516" i="19"/>
  <c r="N516" i="19"/>
  <c r="O516" i="19"/>
  <c r="P516" i="19"/>
  <c r="Q516" i="19"/>
  <c r="R516" i="19"/>
  <c r="S516" i="19"/>
  <c r="T516" i="19"/>
  <c r="U516" i="19"/>
  <c r="V516" i="19"/>
  <c r="W516" i="19"/>
  <c r="B517" i="19"/>
  <c r="C517" i="19"/>
  <c r="D517" i="19"/>
  <c r="E517" i="19"/>
  <c r="F517" i="19"/>
  <c r="G517" i="19"/>
  <c r="H517" i="19"/>
  <c r="I517" i="19"/>
  <c r="J517" i="19"/>
  <c r="K517" i="19"/>
  <c r="L517" i="19"/>
  <c r="N517" i="19"/>
  <c r="O517" i="19"/>
  <c r="P517" i="19"/>
  <c r="Q517" i="19"/>
  <c r="R517" i="19"/>
  <c r="S517" i="19"/>
  <c r="T517" i="19"/>
  <c r="U517" i="19"/>
  <c r="V517" i="19"/>
  <c r="W517" i="19"/>
  <c r="C518" i="19"/>
  <c r="D518" i="19"/>
  <c r="E518" i="19"/>
  <c r="F518" i="19"/>
  <c r="G518" i="19"/>
  <c r="H518" i="19"/>
  <c r="I518" i="19"/>
  <c r="J518" i="19"/>
  <c r="K518" i="19"/>
  <c r="L518" i="19"/>
  <c r="B520" i="19"/>
  <c r="D520" i="19"/>
  <c r="E520" i="19"/>
  <c r="F520" i="19"/>
  <c r="G520" i="19"/>
  <c r="H520" i="19"/>
  <c r="I520" i="19"/>
  <c r="J520" i="19"/>
  <c r="K520" i="19"/>
  <c r="L520" i="19"/>
  <c r="N520" i="19"/>
  <c r="O520" i="19"/>
  <c r="P520" i="19"/>
  <c r="Q520" i="19"/>
  <c r="R520" i="19"/>
  <c r="S520" i="19"/>
  <c r="T520" i="19"/>
  <c r="U520" i="19"/>
  <c r="V520" i="19"/>
  <c r="W520" i="19"/>
  <c r="C521" i="19"/>
  <c r="D521" i="19"/>
  <c r="E521" i="19"/>
  <c r="F521" i="19"/>
  <c r="G521" i="19"/>
  <c r="H521" i="19"/>
  <c r="I521" i="19"/>
  <c r="J521" i="19"/>
  <c r="K521" i="19"/>
  <c r="L521" i="19"/>
  <c r="B524" i="19"/>
  <c r="A524" i="19"/>
  <c r="C524" i="19"/>
  <c r="D524" i="19"/>
  <c r="E524" i="19"/>
  <c r="F524" i="19"/>
  <c r="G524" i="19"/>
  <c r="H524" i="19"/>
  <c r="I524" i="19"/>
  <c r="J524" i="19"/>
  <c r="K524" i="19"/>
  <c r="L524" i="19"/>
  <c r="N524" i="19"/>
  <c r="O524" i="19"/>
  <c r="P524" i="19"/>
  <c r="Q524" i="19"/>
  <c r="R524" i="19"/>
  <c r="S524" i="19"/>
  <c r="T524" i="19"/>
  <c r="U524" i="19"/>
  <c r="V524" i="19"/>
  <c r="W524" i="19"/>
  <c r="B525" i="19"/>
  <c r="A525" i="19"/>
  <c r="C525" i="19"/>
  <c r="D525" i="19"/>
  <c r="E525" i="19"/>
  <c r="F525" i="19"/>
  <c r="G525" i="19"/>
  <c r="H525" i="19"/>
  <c r="I525" i="19"/>
  <c r="J525" i="19"/>
  <c r="K525" i="19"/>
  <c r="L525" i="19"/>
  <c r="N525" i="19"/>
  <c r="O525" i="19"/>
  <c r="P525" i="19"/>
  <c r="Q525" i="19"/>
  <c r="R525" i="19"/>
  <c r="S525" i="19"/>
  <c r="T525" i="19"/>
  <c r="U525" i="19"/>
  <c r="V525" i="19"/>
  <c r="W525" i="19"/>
  <c r="B526" i="19"/>
  <c r="A526" i="19"/>
  <c r="C526" i="19"/>
  <c r="D526" i="19"/>
  <c r="E526" i="19"/>
  <c r="F526" i="19"/>
  <c r="G526" i="19"/>
  <c r="H526" i="19"/>
  <c r="I526" i="19"/>
  <c r="J526" i="19"/>
  <c r="K526" i="19"/>
  <c r="L526" i="19"/>
  <c r="N526" i="19"/>
  <c r="O526" i="19"/>
  <c r="P526" i="19"/>
  <c r="Q526" i="19"/>
  <c r="R526" i="19"/>
  <c r="S526" i="19"/>
  <c r="T526" i="19"/>
  <c r="U526" i="19"/>
  <c r="V526" i="19"/>
  <c r="W526" i="19"/>
  <c r="B527" i="19"/>
  <c r="A527" i="19"/>
  <c r="C527" i="19"/>
  <c r="D527" i="19"/>
  <c r="E527" i="19"/>
  <c r="F527" i="19"/>
  <c r="G527" i="19"/>
  <c r="H527" i="19"/>
  <c r="I527" i="19"/>
  <c r="J527" i="19"/>
  <c r="K527" i="19"/>
  <c r="L527" i="19"/>
  <c r="N527" i="19"/>
  <c r="O527" i="19"/>
  <c r="P527" i="19"/>
  <c r="Q527" i="19"/>
  <c r="R527" i="19"/>
  <c r="S527" i="19"/>
  <c r="T527" i="19"/>
  <c r="U527" i="19"/>
  <c r="V527" i="19"/>
  <c r="W527" i="19"/>
  <c r="B528" i="19"/>
  <c r="A528" i="19"/>
  <c r="C528" i="19"/>
  <c r="D528" i="19"/>
  <c r="E528" i="19"/>
  <c r="F528" i="19"/>
  <c r="G528" i="19"/>
  <c r="H528" i="19"/>
  <c r="I528" i="19"/>
  <c r="J528" i="19"/>
  <c r="K528" i="19"/>
  <c r="L528" i="19"/>
  <c r="N528" i="19"/>
  <c r="O528" i="19"/>
  <c r="P528" i="19"/>
  <c r="Q528" i="19"/>
  <c r="R528" i="19"/>
  <c r="S528" i="19"/>
  <c r="T528" i="19"/>
  <c r="U528" i="19"/>
  <c r="V528" i="19"/>
  <c r="W528" i="19"/>
  <c r="B529" i="19"/>
  <c r="A529" i="19"/>
  <c r="C529" i="19"/>
  <c r="D529" i="19"/>
  <c r="E529" i="19"/>
  <c r="F529" i="19"/>
  <c r="G529" i="19"/>
  <c r="H529" i="19"/>
  <c r="I529" i="19"/>
  <c r="J529" i="19"/>
  <c r="K529" i="19"/>
  <c r="L529" i="19"/>
  <c r="N529" i="19"/>
  <c r="O529" i="19"/>
  <c r="P529" i="19"/>
  <c r="Q529" i="19"/>
  <c r="R529" i="19"/>
  <c r="S529" i="19"/>
  <c r="T529" i="19"/>
  <c r="U529" i="19"/>
  <c r="V529" i="19"/>
  <c r="W529" i="19"/>
  <c r="B530" i="19"/>
  <c r="A530" i="19"/>
  <c r="C530" i="19"/>
  <c r="D530" i="19"/>
  <c r="E530" i="19"/>
  <c r="F530" i="19"/>
  <c r="G530" i="19"/>
  <c r="H530" i="19"/>
  <c r="I530" i="19"/>
  <c r="J530" i="19"/>
  <c r="K530" i="19"/>
  <c r="L530" i="19"/>
  <c r="N530" i="19"/>
  <c r="O530" i="19"/>
  <c r="P530" i="19"/>
  <c r="Q530" i="19"/>
  <c r="R530" i="19"/>
  <c r="S530" i="19"/>
  <c r="T530" i="19"/>
  <c r="U530" i="19"/>
  <c r="V530" i="19"/>
  <c r="W530" i="19"/>
  <c r="B531" i="19"/>
  <c r="A531" i="19"/>
  <c r="C531" i="19"/>
  <c r="D531" i="19"/>
  <c r="E531" i="19"/>
  <c r="F531" i="19"/>
  <c r="G531" i="19"/>
  <c r="H531" i="19"/>
  <c r="I531" i="19"/>
  <c r="J531" i="19"/>
  <c r="K531" i="19"/>
  <c r="L531" i="19"/>
  <c r="N531" i="19"/>
  <c r="O531" i="19"/>
  <c r="P531" i="19"/>
  <c r="Q531" i="19"/>
  <c r="R531" i="19"/>
  <c r="S531" i="19"/>
  <c r="T531" i="19"/>
  <c r="U531" i="19"/>
  <c r="V531" i="19"/>
  <c r="W531" i="19"/>
  <c r="B532" i="19"/>
  <c r="A532" i="19"/>
  <c r="C532" i="19"/>
  <c r="D532" i="19"/>
  <c r="E532" i="19"/>
  <c r="F532" i="19"/>
  <c r="G532" i="19"/>
  <c r="H532" i="19"/>
  <c r="I532" i="19"/>
  <c r="J532" i="19"/>
  <c r="K532" i="19"/>
  <c r="L532" i="19"/>
  <c r="N532" i="19"/>
  <c r="O532" i="19"/>
  <c r="P532" i="19"/>
  <c r="Q532" i="19"/>
  <c r="R532" i="19"/>
  <c r="S532" i="19"/>
  <c r="T532" i="19"/>
  <c r="U532" i="19"/>
  <c r="V532" i="19"/>
  <c r="W532" i="19"/>
  <c r="B533" i="19"/>
  <c r="C533" i="19"/>
  <c r="D533" i="19"/>
  <c r="E533" i="19"/>
  <c r="F533" i="19"/>
  <c r="G533" i="19"/>
  <c r="H533" i="19"/>
  <c r="I533" i="19"/>
  <c r="J533" i="19"/>
  <c r="K533" i="19"/>
  <c r="L533" i="19"/>
  <c r="N533" i="19"/>
  <c r="O533" i="19"/>
  <c r="P533" i="19"/>
  <c r="Q533" i="19"/>
  <c r="R533" i="19"/>
  <c r="S533" i="19"/>
  <c r="T533" i="19"/>
  <c r="U533" i="19"/>
  <c r="V533" i="19"/>
  <c r="W533" i="19"/>
  <c r="C534" i="19"/>
  <c r="D534" i="19"/>
  <c r="E534" i="19"/>
  <c r="F534" i="19"/>
  <c r="G534" i="19"/>
  <c r="H534" i="19"/>
  <c r="I534" i="19"/>
  <c r="J534" i="19"/>
  <c r="K534" i="19"/>
  <c r="L534" i="19"/>
  <c r="B536" i="19"/>
  <c r="D536" i="19"/>
  <c r="E536" i="19"/>
  <c r="F536" i="19"/>
  <c r="G536" i="19"/>
  <c r="H536" i="19"/>
  <c r="I536" i="19"/>
  <c r="J536" i="19"/>
  <c r="K536" i="19"/>
  <c r="L536" i="19"/>
  <c r="N536" i="19"/>
  <c r="O536" i="19"/>
  <c r="P536" i="19"/>
  <c r="Q536" i="19"/>
  <c r="R536" i="19"/>
  <c r="S536" i="19"/>
  <c r="T536" i="19"/>
  <c r="U536" i="19"/>
  <c r="V536" i="19"/>
  <c r="W536" i="19"/>
  <c r="C537" i="19"/>
  <c r="D537" i="19"/>
  <c r="E537" i="19"/>
  <c r="F537" i="19"/>
  <c r="G537" i="19"/>
  <c r="H537" i="19"/>
  <c r="I537" i="19"/>
  <c r="J537" i="19"/>
  <c r="K537" i="19"/>
  <c r="L537" i="19"/>
  <c r="B540" i="19"/>
  <c r="A540" i="19"/>
  <c r="C540" i="19"/>
  <c r="D540" i="19"/>
  <c r="E540" i="19"/>
  <c r="F540" i="19"/>
  <c r="G540" i="19"/>
  <c r="H540" i="19"/>
  <c r="I540" i="19"/>
  <c r="J540" i="19"/>
  <c r="K540" i="19"/>
  <c r="L540" i="19"/>
  <c r="N540" i="19"/>
  <c r="O540" i="19"/>
  <c r="P540" i="19"/>
  <c r="Q540" i="19"/>
  <c r="R540" i="19"/>
  <c r="S540" i="19"/>
  <c r="T540" i="19"/>
  <c r="U540" i="19"/>
  <c r="V540" i="19"/>
  <c r="W540" i="19"/>
  <c r="B541" i="19"/>
  <c r="A541" i="19"/>
  <c r="C541" i="19"/>
  <c r="D541" i="19"/>
  <c r="E541" i="19"/>
  <c r="F541" i="19"/>
  <c r="G541" i="19"/>
  <c r="H541" i="19"/>
  <c r="I541" i="19"/>
  <c r="J541" i="19"/>
  <c r="K541" i="19"/>
  <c r="L541" i="19"/>
  <c r="N541" i="19"/>
  <c r="O541" i="19"/>
  <c r="P541" i="19"/>
  <c r="Q541" i="19"/>
  <c r="R541" i="19"/>
  <c r="S541" i="19"/>
  <c r="T541" i="19"/>
  <c r="U541" i="19"/>
  <c r="V541" i="19"/>
  <c r="W541" i="19"/>
  <c r="B542" i="19"/>
  <c r="A542" i="19"/>
  <c r="C542" i="19"/>
  <c r="D542" i="19"/>
  <c r="E542" i="19"/>
  <c r="F542" i="19"/>
  <c r="G542" i="19"/>
  <c r="H542" i="19"/>
  <c r="I542" i="19"/>
  <c r="J542" i="19"/>
  <c r="K542" i="19"/>
  <c r="L542" i="19"/>
  <c r="N542" i="19"/>
  <c r="O542" i="19"/>
  <c r="P542" i="19"/>
  <c r="Q542" i="19"/>
  <c r="R542" i="19"/>
  <c r="S542" i="19"/>
  <c r="T542" i="19"/>
  <c r="U542" i="19"/>
  <c r="V542" i="19"/>
  <c r="W542" i="19"/>
  <c r="B543" i="19"/>
  <c r="A543" i="19"/>
  <c r="C543" i="19"/>
  <c r="D543" i="19"/>
  <c r="E543" i="19"/>
  <c r="F543" i="19"/>
  <c r="G543" i="19"/>
  <c r="H543" i="19"/>
  <c r="I543" i="19"/>
  <c r="J543" i="19"/>
  <c r="K543" i="19"/>
  <c r="L543" i="19"/>
  <c r="N543" i="19"/>
  <c r="O543" i="19"/>
  <c r="P543" i="19"/>
  <c r="Q543" i="19"/>
  <c r="R543" i="19"/>
  <c r="S543" i="19"/>
  <c r="T543" i="19"/>
  <c r="U543" i="19"/>
  <c r="V543" i="19"/>
  <c r="W543" i="19"/>
  <c r="B544" i="19"/>
  <c r="A544" i="19"/>
  <c r="C544" i="19"/>
  <c r="D544" i="19"/>
  <c r="E544" i="19"/>
  <c r="F544" i="19"/>
  <c r="G544" i="19"/>
  <c r="H544" i="19"/>
  <c r="I544" i="19"/>
  <c r="J544" i="19"/>
  <c r="K544" i="19"/>
  <c r="L544" i="19"/>
  <c r="N544" i="19"/>
  <c r="O544" i="19"/>
  <c r="P544" i="19"/>
  <c r="Q544" i="19"/>
  <c r="R544" i="19"/>
  <c r="S544" i="19"/>
  <c r="T544" i="19"/>
  <c r="U544" i="19"/>
  <c r="V544" i="19"/>
  <c r="W544" i="19"/>
  <c r="B545" i="19"/>
  <c r="A545" i="19"/>
  <c r="C545" i="19"/>
  <c r="D545" i="19"/>
  <c r="E545" i="19"/>
  <c r="F545" i="19"/>
  <c r="G545" i="19"/>
  <c r="H545" i="19"/>
  <c r="I545" i="19"/>
  <c r="J545" i="19"/>
  <c r="K545" i="19"/>
  <c r="L545" i="19"/>
  <c r="N545" i="19"/>
  <c r="O545" i="19"/>
  <c r="P545" i="19"/>
  <c r="Q545" i="19"/>
  <c r="R545" i="19"/>
  <c r="S545" i="19"/>
  <c r="T545" i="19"/>
  <c r="U545" i="19"/>
  <c r="V545" i="19"/>
  <c r="W545" i="19"/>
  <c r="B546" i="19"/>
  <c r="A546" i="19"/>
  <c r="C546" i="19"/>
  <c r="D546" i="19"/>
  <c r="E546" i="19"/>
  <c r="F546" i="19"/>
  <c r="G546" i="19"/>
  <c r="H546" i="19"/>
  <c r="I546" i="19"/>
  <c r="J546" i="19"/>
  <c r="K546" i="19"/>
  <c r="L546" i="19"/>
  <c r="N546" i="19"/>
  <c r="O546" i="19"/>
  <c r="P546" i="19"/>
  <c r="Q546" i="19"/>
  <c r="R546" i="19"/>
  <c r="S546" i="19"/>
  <c r="T546" i="19"/>
  <c r="U546" i="19"/>
  <c r="V546" i="19"/>
  <c r="W546" i="19"/>
  <c r="B547" i="19"/>
  <c r="A547" i="19"/>
  <c r="C547" i="19"/>
  <c r="D547" i="19"/>
  <c r="E547" i="19"/>
  <c r="F547" i="19"/>
  <c r="G547" i="19"/>
  <c r="H547" i="19"/>
  <c r="I547" i="19"/>
  <c r="J547" i="19"/>
  <c r="K547" i="19"/>
  <c r="L547" i="19"/>
  <c r="N547" i="19"/>
  <c r="O547" i="19"/>
  <c r="P547" i="19"/>
  <c r="Q547" i="19"/>
  <c r="R547" i="19"/>
  <c r="S547" i="19"/>
  <c r="T547" i="19"/>
  <c r="U547" i="19"/>
  <c r="V547" i="19"/>
  <c r="W547" i="19"/>
  <c r="B548" i="19"/>
  <c r="A548" i="19"/>
  <c r="C548" i="19"/>
  <c r="D548" i="19"/>
  <c r="E548" i="19"/>
  <c r="F548" i="19"/>
  <c r="G548" i="19"/>
  <c r="H548" i="19"/>
  <c r="I548" i="19"/>
  <c r="J548" i="19"/>
  <c r="K548" i="19"/>
  <c r="L548" i="19"/>
  <c r="N548" i="19"/>
  <c r="O548" i="19"/>
  <c r="P548" i="19"/>
  <c r="Q548" i="19"/>
  <c r="R548" i="19"/>
  <c r="S548" i="19"/>
  <c r="T548" i="19"/>
  <c r="U548" i="19"/>
  <c r="V548" i="19"/>
  <c r="W548" i="19"/>
  <c r="B549" i="19"/>
  <c r="C549" i="19"/>
  <c r="D549" i="19"/>
  <c r="E549" i="19"/>
  <c r="F549" i="19"/>
  <c r="G549" i="19"/>
  <c r="H549" i="19"/>
  <c r="I549" i="19"/>
  <c r="J549" i="19"/>
  <c r="K549" i="19"/>
  <c r="L549" i="19"/>
  <c r="N549" i="19"/>
  <c r="O549" i="19"/>
  <c r="P549" i="19"/>
  <c r="Q549" i="19"/>
  <c r="R549" i="19"/>
  <c r="S549" i="19"/>
  <c r="T549" i="19"/>
  <c r="U549" i="19"/>
  <c r="V549" i="19"/>
  <c r="W549" i="19"/>
  <c r="C550" i="19"/>
  <c r="D550" i="19"/>
  <c r="E550" i="19"/>
  <c r="F550" i="19"/>
  <c r="G550" i="19"/>
  <c r="H550" i="19"/>
  <c r="I550" i="19"/>
  <c r="J550" i="19"/>
  <c r="K550" i="19"/>
  <c r="L550" i="19"/>
  <c r="B552" i="19"/>
  <c r="D552" i="19"/>
  <c r="E552" i="19"/>
  <c r="F552" i="19"/>
  <c r="G552" i="19"/>
  <c r="H552" i="19"/>
  <c r="I552" i="19"/>
  <c r="J552" i="19"/>
  <c r="K552" i="19"/>
  <c r="L552" i="19"/>
  <c r="N552" i="19"/>
  <c r="O552" i="19"/>
  <c r="P552" i="19"/>
  <c r="Q552" i="19"/>
  <c r="R552" i="19"/>
  <c r="S552" i="19"/>
  <c r="T552" i="19"/>
  <c r="U552" i="19"/>
  <c r="V552" i="19"/>
  <c r="W552" i="19"/>
  <c r="C553" i="19"/>
  <c r="D553" i="19"/>
  <c r="E553" i="19"/>
  <c r="F553" i="19"/>
  <c r="G553" i="19"/>
  <c r="H553" i="19"/>
  <c r="I553" i="19"/>
  <c r="J553" i="19"/>
  <c r="K553" i="19"/>
  <c r="L553" i="19"/>
  <c r="B556" i="19"/>
  <c r="A556" i="19"/>
  <c r="C556" i="19"/>
  <c r="D556" i="19"/>
  <c r="E556" i="19"/>
  <c r="F556" i="19"/>
  <c r="G556" i="19"/>
  <c r="H556" i="19"/>
  <c r="I556" i="19"/>
  <c r="J556" i="19"/>
  <c r="K556" i="19"/>
  <c r="L556" i="19"/>
  <c r="N556" i="19"/>
  <c r="O556" i="19"/>
  <c r="P556" i="19"/>
  <c r="Q556" i="19"/>
  <c r="R556" i="19"/>
  <c r="S556" i="19"/>
  <c r="T556" i="19"/>
  <c r="U556" i="19"/>
  <c r="V556" i="19"/>
  <c r="W556" i="19"/>
  <c r="B557" i="19"/>
  <c r="A557" i="19"/>
  <c r="C557" i="19"/>
  <c r="D557" i="19"/>
  <c r="E557" i="19"/>
  <c r="F557" i="19"/>
  <c r="G557" i="19"/>
  <c r="H557" i="19"/>
  <c r="I557" i="19"/>
  <c r="J557" i="19"/>
  <c r="K557" i="19"/>
  <c r="L557" i="19"/>
  <c r="N557" i="19"/>
  <c r="O557" i="19"/>
  <c r="P557" i="19"/>
  <c r="Q557" i="19"/>
  <c r="R557" i="19"/>
  <c r="S557" i="19"/>
  <c r="T557" i="19"/>
  <c r="U557" i="19"/>
  <c r="V557" i="19"/>
  <c r="W557" i="19"/>
  <c r="B558" i="19"/>
  <c r="A558" i="19"/>
  <c r="C558" i="19"/>
  <c r="D558" i="19"/>
  <c r="E558" i="19"/>
  <c r="F558" i="19"/>
  <c r="G558" i="19"/>
  <c r="H558" i="19"/>
  <c r="I558" i="19"/>
  <c r="J558" i="19"/>
  <c r="K558" i="19"/>
  <c r="L558" i="19"/>
  <c r="N558" i="19"/>
  <c r="O558" i="19"/>
  <c r="P558" i="19"/>
  <c r="Q558" i="19"/>
  <c r="R558" i="19"/>
  <c r="S558" i="19"/>
  <c r="T558" i="19"/>
  <c r="U558" i="19"/>
  <c r="V558" i="19"/>
  <c r="W558" i="19"/>
  <c r="B559" i="19"/>
  <c r="A559" i="19"/>
  <c r="C559" i="19"/>
  <c r="D559" i="19"/>
  <c r="E559" i="19"/>
  <c r="F559" i="19"/>
  <c r="G559" i="19"/>
  <c r="H559" i="19"/>
  <c r="I559" i="19"/>
  <c r="J559" i="19"/>
  <c r="K559" i="19"/>
  <c r="L559" i="19"/>
  <c r="N559" i="19"/>
  <c r="O559" i="19"/>
  <c r="P559" i="19"/>
  <c r="Q559" i="19"/>
  <c r="R559" i="19"/>
  <c r="S559" i="19"/>
  <c r="T559" i="19"/>
  <c r="U559" i="19"/>
  <c r="V559" i="19"/>
  <c r="W559" i="19"/>
  <c r="B560" i="19"/>
  <c r="A560" i="19"/>
  <c r="C560" i="19"/>
  <c r="D560" i="19"/>
  <c r="E560" i="19"/>
  <c r="F560" i="19"/>
  <c r="G560" i="19"/>
  <c r="H560" i="19"/>
  <c r="I560" i="19"/>
  <c r="J560" i="19"/>
  <c r="K560" i="19"/>
  <c r="L560" i="19"/>
  <c r="N560" i="19"/>
  <c r="O560" i="19"/>
  <c r="P560" i="19"/>
  <c r="Q560" i="19"/>
  <c r="R560" i="19"/>
  <c r="S560" i="19"/>
  <c r="T560" i="19"/>
  <c r="U560" i="19"/>
  <c r="V560" i="19"/>
  <c r="W560" i="19"/>
  <c r="B561" i="19"/>
  <c r="A561" i="19"/>
  <c r="C561" i="19"/>
  <c r="D561" i="19"/>
  <c r="E561" i="19"/>
  <c r="F561" i="19"/>
  <c r="G561" i="19"/>
  <c r="H561" i="19"/>
  <c r="I561" i="19"/>
  <c r="J561" i="19"/>
  <c r="K561" i="19"/>
  <c r="L561" i="19"/>
  <c r="N561" i="19"/>
  <c r="O561" i="19"/>
  <c r="P561" i="19"/>
  <c r="Q561" i="19"/>
  <c r="R561" i="19"/>
  <c r="S561" i="19"/>
  <c r="T561" i="19"/>
  <c r="U561" i="19"/>
  <c r="V561" i="19"/>
  <c r="W561" i="19"/>
  <c r="B562" i="19"/>
  <c r="A562" i="19"/>
  <c r="C562" i="19"/>
  <c r="D562" i="19"/>
  <c r="E562" i="19"/>
  <c r="F562" i="19"/>
  <c r="G562" i="19"/>
  <c r="H562" i="19"/>
  <c r="I562" i="19"/>
  <c r="J562" i="19"/>
  <c r="K562" i="19"/>
  <c r="L562" i="19"/>
  <c r="N562" i="19"/>
  <c r="O562" i="19"/>
  <c r="P562" i="19"/>
  <c r="Q562" i="19"/>
  <c r="R562" i="19"/>
  <c r="S562" i="19"/>
  <c r="T562" i="19"/>
  <c r="U562" i="19"/>
  <c r="V562" i="19"/>
  <c r="W562" i="19"/>
  <c r="B563" i="19"/>
  <c r="A563" i="19"/>
  <c r="C563" i="19"/>
  <c r="D563" i="19"/>
  <c r="E563" i="19"/>
  <c r="F563" i="19"/>
  <c r="G563" i="19"/>
  <c r="H563" i="19"/>
  <c r="I563" i="19"/>
  <c r="J563" i="19"/>
  <c r="K563" i="19"/>
  <c r="L563" i="19"/>
  <c r="N563" i="19"/>
  <c r="O563" i="19"/>
  <c r="P563" i="19"/>
  <c r="Q563" i="19"/>
  <c r="R563" i="19"/>
  <c r="S563" i="19"/>
  <c r="T563" i="19"/>
  <c r="U563" i="19"/>
  <c r="V563" i="19"/>
  <c r="W563" i="19"/>
  <c r="B564" i="19"/>
  <c r="A564" i="19"/>
  <c r="C564" i="19"/>
  <c r="D564" i="19"/>
  <c r="E564" i="19"/>
  <c r="F564" i="19"/>
  <c r="G564" i="19"/>
  <c r="H564" i="19"/>
  <c r="I564" i="19"/>
  <c r="J564" i="19"/>
  <c r="K564" i="19"/>
  <c r="L564" i="19"/>
  <c r="N564" i="19"/>
  <c r="O564" i="19"/>
  <c r="P564" i="19"/>
  <c r="Q564" i="19"/>
  <c r="R564" i="19"/>
  <c r="S564" i="19"/>
  <c r="T564" i="19"/>
  <c r="U564" i="19"/>
  <c r="V564" i="19"/>
  <c r="W564" i="19"/>
  <c r="B565" i="19"/>
  <c r="C565" i="19"/>
  <c r="D565" i="19"/>
  <c r="E565" i="19"/>
  <c r="F565" i="19"/>
  <c r="G565" i="19"/>
  <c r="H565" i="19"/>
  <c r="I565" i="19"/>
  <c r="J565" i="19"/>
  <c r="K565" i="19"/>
  <c r="L565" i="19"/>
  <c r="N565" i="19"/>
  <c r="O565" i="19"/>
  <c r="P565" i="19"/>
  <c r="Q565" i="19"/>
  <c r="R565" i="19"/>
  <c r="S565" i="19"/>
  <c r="T565" i="19"/>
  <c r="U565" i="19"/>
  <c r="V565" i="19"/>
  <c r="W565" i="19"/>
  <c r="C566" i="19"/>
  <c r="D566" i="19"/>
  <c r="E566" i="19"/>
  <c r="F566" i="19"/>
  <c r="G566" i="19"/>
  <c r="H566" i="19"/>
  <c r="I566" i="19"/>
  <c r="J566" i="19"/>
  <c r="K566" i="19"/>
  <c r="L566" i="19"/>
  <c r="B568" i="19"/>
  <c r="D568" i="19"/>
  <c r="E568" i="19"/>
  <c r="F568" i="19"/>
  <c r="G568" i="19"/>
  <c r="H568" i="19"/>
  <c r="I568" i="19"/>
  <c r="J568" i="19"/>
  <c r="K568" i="19"/>
  <c r="L568" i="19"/>
  <c r="N568" i="19"/>
  <c r="O568" i="19"/>
  <c r="P568" i="19"/>
  <c r="Q568" i="19"/>
  <c r="R568" i="19"/>
  <c r="S568" i="19"/>
  <c r="T568" i="19"/>
  <c r="U568" i="19"/>
  <c r="V568" i="19"/>
  <c r="W568" i="19"/>
  <c r="C569" i="19"/>
  <c r="D569" i="19"/>
  <c r="E569" i="19"/>
  <c r="F569" i="19"/>
  <c r="G569" i="19"/>
  <c r="H569" i="19"/>
  <c r="I569" i="19"/>
  <c r="J569" i="19"/>
  <c r="K569" i="19"/>
  <c r="L569" i="19"/>
  <c r="B572" i="19"/>
  <c r="A572" i="19"/>
  <c r="C572" i="19"/>
  <c r="D572" i="19"/>
  <c r="E572" i="19"/>
  <c r="F572" i="19"/>
  <c r="G572" i="19"/>
  <c r="H572" i="19"/>
  <c r="I572" i="19"/>
  <c r="J572" i="19"/>
  <c r="K572" i="19"/>
  <c r="L572" i="19"/>
  <c r="N572" i="19"/>
  <c r="O572" i="19"/>
  <c r="P572" i="19"/>
  <c r="Q572" i="19"/>
  <c r="R572" i="19"/>
  <c r="S572" i="19"/>
  <c r="T572" i="19"/>
  <c r="U572" i="19"/>
  <c r="V572" i="19"/>
  <c r="W572" i="19"/>
  <c r="B573" i="19"/>
  <c r="A573" i="19"/>
  <c r="C573" i="19"/>
  <c r="D573" i="19"/>
  <c r="E573" i="19"/>
  <c r="F573" i="19"/>
  <c r="G573" i="19"/>
  <c r="H573" i="19"/>
  <c r="I573" i="19"/>
  <c r="J573" i="19"/>
  <c r="K573" i="19"/>
  <c r="L573" i="19"/>
  <c r="N573" i="19"/>
  <c r="O573" i="19"/>
  <c r="P573" i="19"/>
  <c r="Q573" i="19"/>
  <c r="R573" i="19"/>
  <c r="S573" i="19"/>
  <c r="T573" i="19"/>
  <c r="U573" i="19"/>
  <c r="V573" i="19"/>
  <c r="W573" i="19"/>
  <c r="B574" i="19"/>
  <c r="A574" i="19"/>
  <c r="C574" i="19"/>
  <c r="D574" i="19"/>
  <c r="E574" i="19"/>
  <c r="F574" i="19"/>
  <c r="G574" i="19"/>
  <c r="H574" i="19"/>
  <c r="I574" i="19"/>
  <c r="J574" i="19"/>
  <c r="K574" i="19"/>
  <c r="L574" i="19"/>
  <c r="N574" i="19"/>
  <c r="O574" i="19"/>
  <c r="P574" i="19"/>
  <c r="Q574" i="19"/>
  <c r="R574" i="19"/>
  <c r="S574" i="19"/>
  <c r="T574" i="19"/>
  <c r="U574" i="19"/>
  <c r="V574" i="19"/>
  <c r="W574" i="19"/>
  <c r="B575" i="19"/>
  <c r="A575" i="19"/>
  <c r="C575" i="19"/>
  <c r="D575" i="19"/>
  <c r="E575" i="19"/>
  <c r="F575" i="19"/>
  <c r="G575" i="19"/>
  <c r="H575" i="19"/>
  <c r="I575" i="19"/>
  <c r="J575" i="19"/>
  <c r="K575" i="19"/>
  <c r="L575" i="19"/>
  <c r="N575" i="19"/>
  <c r="O575" i="19"/>
  <c r="P575" i="19"/>
  <c r="Q575" i="19"/>
  <c r="R575" i="19"/>
  <c r="S575" i="19"/>
  <c r="T575" i="19"/>
  <c r="U575" i="19"/>
  <c r="V575" i="19"/>
  <c r="W575" i="19"/>
  <c r="B576" i="19"/>
  <c r="A576" i="19"/>
  <c r="C576" i="19"/>
  <c r="D576" i="19"/>
  <c r="E576" i="19"/>
  <c r="F576" i="19"/>
  <c r="G576" i="19"/>
  <c r="H576" i="19"/>
  <c r="I576" i="19"/>
  <c r="J576" i="19"/>
  <c r="K576" i="19"/>
  <c r="L576" i="19"/>
  <c r="N576" i="19"/>
  <c r="O576" i="19"/>
  <c r="P576" i="19"/>
  <c r="Q576" i="19"/>
  <c r="R576" i="19"/>
  <c r="S576" i="19"/>
  <c r="T576" i="19"/>
  <c r="U576" i="19"/>
  <c r="V576" i="19"/>
  <c r="W576" i="19"/>
  <c r="B577" i="19"/>
  <c r="A577" i="19"/>
  <c r="C577" i="19"/>
  <c r="D577" i="19"/>
  <c r="E577" i="19"/>
  <c r="F577" i="19"/>
  <c r="G577" i="19"/>
  <c r="H577" i="19"/>
  <c r="I577" i="19"/>
  <c r="J577" i="19"/>
  <c r="K577" i="19"/>
  <c r="L577" i="19"/>
  <c r="N577" i="19"/>
  <c r="O577" i="19"/>
  <c r="P577" i="19"/>
  <c r="Q577" i="19"/>
  <c r="R577" i="19"/>
  <c r="S577" i="19"/>
  <c r="T577" i="19"/>
  <c r="U577" i="19"/>
  <c r="V577" i="19"/>
  <c r="W577" i="19"/>
  <c r="B578" i="19"/>
  <c r="A578" i="19"/>
  <c r="C578" i="19"/>
  <c r="D578" i="19"/>
  <c r="E578" i="19"/>
  <c r="F578" i="19"/>
  <c r="G578" i="19"/>
  <c r="H578" i="19"/>
  <c r="I578" i="19"/>
  <c r="J578" i="19"/>
  <c r="K578" i="19"/>
  <c r="L578" i="19"/>
  <c r="N578" i="19"/>
  <c r="O578" i="19"/>
  <c r="P578" i="19"/>
  <c r="Q578" i="19"/>
  <c r="R578" i="19"/>
  <c r="S578" i="19"/>
  <c r="T578" i="19"/>
  <c r="U578" i="19"/>
  <c r="V578" i="19"/>
  <c r="W578" i="19"/>
  <c r="B579" i="19"/>
  <c r="A579" i="19"/>
  <c r="C579" i="19"/>
  <c r="D579" i="19"/>
  <c r="E579" i="19"/>
  <c r="F579" i="19"/>
  <c r="G579" i="19"/>
  <c r="H579" i="19"/>
  <c r="I579" i="19"/>
  <c r="J579" i="19"/>
  <c r="K579" i="19"/>
  <c r="L579" i="19"/>
  <c r="N579" i="19"/>
  <c r="O579" i="19"/>
  <c r="P579" i="19"/>
  <c r="Q579" i="19"/>
  <c r="R579" i="19"/>
  <c r="S579" i="19"/>
  <c r="T579" i="19"/>
  <c r="U579" i="19"/>
  <c r="V579" i="19"/>
  <c r="W579" i="19"/>
  <c r="B580" i="19"/>
  <c r="A580" i="19"/>
  <c r="C580" i="19"/>
  <c r="D580" i="19"/>
  <c r="E580" i="19"/>
  <c r="F580" i="19"/>
  <c r="G580" i="19"/>
  <c r="H580" i="19"/>
  <c r="I580" i="19"/>
  <c r="J580" i="19"/>
  <c r="K580" i="19"/>
  <c r="L580" i="19"/>
  <c r="N580" i="19"/>
  <c r="O580" i="19"/>
  <c r="P580" i="19"/>
  <c r="Q580" i="19"/>
  <c r="R580" i="19"/>
  <c r="S580" i="19"/>
  <c r="T580" i="19"/>
  <c r="U580" i="19"/>
  <c r="V580" i="19"/>
  <c r="W580" i="19"/>
  <c r="B581" i="19"/>
  <c r="C581" i="19"/>
  <c r="D581" i="19"/>
  <c r="E581" i="19"/>
  <c r="F581" i="19"/>
  <c r="G581" i="19"/>
  <c r="H581" i="19"/>
  <c r="I581" i="19"/>
  <c r="J581" i="19"/>
  <c r="K581" i="19"/>
  <c r="L581" i="19"/>
  <c r="N581" i="19"/>
  <c r="O581" i="19"/>
  <c r="P581" i="19"/>
  <c r="Q581" i="19"/>
  <c r="R581" i="19"/>
  <c r="S581" i="19"/>
  <c r="T581" i="19"/>
  <c r="U581" i="19"/>
  <c r="V581" i="19"/>
  <c r="W581" i="19"/>
  <c r="C582" i="19"/>
  <c r="D582" i="19"/>
  <c r="E582" i="19"/>
  <c r="F582" i="19"/>
  <c r="G582" i="19"/>
  <c r="H582" i="19"/>
  <c r="I582" i="19"/>
  <c r="J582" i="19"/>
  <c r="K582" i="19"/>
  <c r="L582" i="19"/>
  <c r="B584" i="19"/>
  <c r="D584" i="19"/>
  <c r="E584" i="19"/>
  <c r="F584" i="19"/>
  <c r="G584" i="19"/>
  <c r="H584" i="19"/>
  <c r="I584" i="19"/>
  <c r="J584" i="19"/>
  <c r="K584" i="19"/>
  <c r="L584" i="19"/>
  <c r="N584" i="19"/>
  <c r="O584" i="19"/>
  <c r="P584" i="19"/>
  <c r="Q584" i="19"/>
  <c r="R584" i="19"/>
  <c r="S584" i="19"/>
  <c r="T584" i="19"/>
  <c r="U584" i="19"/>
  <c r="V584" i="19"/>
  <c r="W584" i="19"/>
  <c r="C585" i="19"/>
  <c r="D585" i="19"/>
  <c r="E585" i="19"/>
  <c r="F585" i="19"/>
  <c r="G585" i="19"/>
  <c r="H585" i="19"/>
  <c r="I585" i="19"/>
  <c r="J585" i="19"/>
  <c r="K585" i="19"/>
  <c r="L585" i="19"/>
  <c r="B588" i="19"/>
  <c r="A588" i="19"/>
  <c r="C588" i="19"/>
  <c r="D588" i="19"/>
  <c r="E588" i="19"/>
  <c r="F588" i="19"/>
  <c r="G588" i="19"/>
  <c r="H588" i="19"/>
  <c r="I588" i="19"/>
  <c r="J588" i="19"/>
  <c r="K588" i="19"/>
  <c r="L588" i="19"/>
  <c r="N588" i="19"/>
  <c r="O588" i="19"/>
  <c r="P588" i="19"/>
  <c r="Q588" i="19"/>
  <c r="R588" i="19"/>
  <c r="S588" i="19"/>
  <c r="T588" i="19"/>
  <c r="U588" i="19"/>
  <c r="V588" i="19"/>
  <c r="W588" i="19"/>
  <c r="B589" i="19"/>
  <c r="A589" i="19"/>
  <c r="C589" i="19"/>
  <c r="D589" i="19"/>
  <c r="E589" i="19"/>
  <c r="F589" i="19"/>
  <c r="G589" i="19"/>
  <c r="H589" i="19"/>
  <c r="I589" i="19"/>
  <c r="J589" i="19"/>
  <c r="K589" i="19"/>
  <c r="L589" i="19"/>
  <c r="N589" i="19"/>
  <c r="O589" i="19"/>
  <c r="P589" i="19"/>
  <c r="Q589" i="19"/>
  <c r="R589" i="19"/>
  <c r="S589" i="19"/>
  <c r="T589" i="19"/>
  <c r="U589" i="19"/>
  <c r="V589" i="19"/>
  <c r="W589" i="19"/>
  <c r="B590" i="19"/>
  <c r="A590" i="19"/>
  <c r="C590" i="19"/>
  <c r="D590" i="19"/>
  <c r="E590" i="19"/>
  <c r="F590" i="19"/>
  <c r="G590" i="19"/>
  <c r="H590" i="19"/>
  <c r="I590" i="19"/>
  <c r="J590" i="19"/>
  <c r="K590" i="19"/>
  <c r="L590" i="19"/>
  <c r="N590" i="19"/>
  <c r="O590" i="19"/>
  <c r="P590" i="19"/>
  <c r="Q590" i="19"/>
  <c r="R590" i="19"/>
  <c r="S590" i="19"/>
  <c r="T590" i="19"/>
  <c r="U590" i="19"/>
  <c r="V590" i="19"/>
  <c r="W590" i="19"/>
  <c r="B591" i="19"/>
  <c r="A591" i="19"/>
  <c r="C591" i="19"/>
  <c r="D591" i="19"/>
  <c r="E591" i="19"/>
  <c r="F591" i="19"/>
  <c r="G591" i="19"/>
  <c r="H591" i="19"/>
  <c r="I591" i="19"/>
  <c r="J591" i="19"/>
  <c r="K591" i="19"/>
  <c r="L591" i="19"/>
  <c r="N591" i="19"/>
  <c r="O591" i="19"/>
  <c r="P591" i="19"/>
  <c r="Q591" i="19"/>
  <c r="R591" i="19"/>
  <c r="S591" i="19"/>
  <c r="T591" i="19"/>
  <c r="U591" i="19"/>
  <c r="V591" i="19"/>
  <c r="W591" i="19"/>
  <c r="B592" i="19"/>
  <c r="A592" i="19"/>
  <c r="C592" i="19"/>
  <c r="D592" i="19"/>
  <c r="E592" i="19"/>
  <c r="F592" i="19"/>
  <c r="G592" i="19"/>
  <c r="H592" i="19"/>
  <c r="I592" i="19"/>
  <c r="J592" i="19"/>
  <c r="K592" i="19"/>
  <c r="L592" i="19"/>
  <c r="N592" i="19"/>
  <c r="O592" i="19"/>
  <c r="P592" i="19"/>
  <c r="Q592" i="19"/>
  <c r="R592" i="19"/>
  <c r="S592" i="19"/>
  <c r="T592" i="19"/>
  <c r="U592" i="19"/>
  <c r="V592" i="19"/>
  <c r="W592" i="19"/>
  <c r="B593" i="19"/>
  <c r="A593" i="19"/>
  <c r="C593" i="19"/>
  <c r="D593" i="19"/>
  <c r="E593" i="19"/>
  <c r="F593" i="19"/>
  <c r="G593" i="19"/>
  <c r="H593" i="19"/>
  <c r="I593" i="19"/>
  <c r="J593" i="19"/>
  <c r="K593" i="19"/>
  <c r="L593" i="19"/>
  <c r="N593" i="19"/>
  <c r="O593" i="19"/>
  <c r="P593" i="19"/>
  <c r="Q593" i="19"/>
  <c r="R593" i="19"/>
  <c r="S593" i="19"/>
  <c r="T593" i="19"/>
  <c r="U593" i="19"/>
  <c r="V593" i="19"/>
  <c r="W593" i="19"/>
  <c r="B594" i="19"/>
  <c r="A594" i="19"/>
  <c r="C594" i="19"/>
  <c r="D594" i="19"/>
  <c r="E594" i="19"/>
  <c r="F594" i="19"/>
  <c r="G594" i="19"/>
  <c r="H594" i="19"/>
  <c r="I594" i="19"/>
  <c r="J594" i="19"/>
  <c r="K594" i="19"/>
  <c r="L594" i="19"/>
  <c r="N594" i="19"/>
  <c r="O594" i="19"/>
  <c r="P594" i="19"/>
  <c r="Q594" i="19"/>
  <c r="R594" i="19"/>
  <c r="S594" i="19"/>
  <c r="T594" i="19"/>
  <c r="U594" i="19"/>
  <c r="V594" i="19"/>
  <c r="W594" i="19"/>
  <c r="B595" i="19"/>
  <c r="A595" i="19"/>
  <c r="C595" i="19"/>
  <c r="D595" i="19"/>
  <c r="E595" i="19"/>
  <c r="F595" i="19"/>
  <c r="G595" i="19"/>
  <c r="H595" i="19"/>
  <c r="I595" i="19"/>
  <c r="J595" i="19"/>
  <c r="K595" i="19"/>
  <c r="L595" i="19"/>
  <c r="N595" i="19"/>
  <c r="O595" i="19"/>
  <c r="P595" i="19"/>
  <c r="Q595" i="19"/>
  <c r="R595" i="19"/>
  <c r="S595" i="19"/>
  <c r="T595" i="19"/>
  <c r="U595" i="19"/>
  <c r="V595" i="19"/>
  <c r="W595" i="19"/>
  <c r="B596" i="19"/>
  <c r="A596" i="19"/>
  <c r="C596" i="19"/>
  <c r="D596" i="19"/>
  <c r="E596" i="19"/>
  <c r="F596" i="19"/>
  <c r="G596" i="19"/>
  <c r="H596" i="19"/>
  <c r="I596" i="19"/>
  <c r="J596" i="19"/>
  <c r="K596" i="19"/>
  <c r="L596" i="19"/>
  <c r="N596" i="19"/>
  <c r="O596" i="19"/>
  <c r="P596" i="19"/>
  <c r="Q596" i="19"/>
  <c r="R596" i="19"/>
  <c r="S596" i="19"/>
  <c r="T596" i="19"/>
  <c r="U596" i="19"/>
  <c r="V596" i="19"/>
  <c r="W596" i="19"/>
  <c r="B597" i="19"/>
  <c r="C597" i="19"/>
  <c r="D597" i="19"/>
  <c r="E597" i="19"/>
  <c r="F597" i="19"/>
  <c r="G597" i="19"/>
  <c r="H597" i="19"/>
  <c r="I597" i="19"/>
  <c r="J597" i="19"/>
  <c r="K597" i="19"/>
  <c r="L597" i="19"/>
  <c r="N597" i="19"/>
  <c r="O597" i="19"/>
  <c r="P597" i="19"/>
  <c r="Q597" i="19"/>
  <c r="R597" i="19"/>
  <c r="S597" i="19"/>
  <c r="T597" i="19"/>
  <c r="U597" i="19"/>
  <c r="V597" i="19"/>
  <c r="W597" i="19"/>
  <c r="C598" i="19"/>
  <c r="D598" i="19"/>
  <c r="E598" i="19"/>
  <c r="F598" i="19"/>
  <c r="G598" i="19"/>
  <c r="H598" i="19"/>
  <c r="I598" i="19"/>
  <c r="J598" i="19"/>
  <c r="K598" i="19"/>
  <c r="L598" i="19"/>
  <c r="B600" i="19"/>
  <c r="D600" i="19"/>
  <c r="E600" i="19"/>
  <c r="F600" i="19"/>
  <c r="G600" i="19"/>
  <c r="H600" i="19"/>
  <c r="I600" i="19"/>
  <c r="J600" i="19"/>
  <c r="K600" i="19"/>
  <c r="L600" i="19"/>
  <c r="N600" i="19"/>
  <c r="O600" i="19"/>
  <c r="P600" i="19"/>
  <c r="Q600" i="19"/>
  <c r="R600" i="19"/>
  <c r="S600" i="19"/>
  <c r="T600" i="19"/>
  <c r="U600" i="19"/>
  <c r="V600" i="19"/>
  <c r="W600" i="19"/>
  <c r="C601" i="19"/>
  <c r="D601" i="19"/>
  <c r="E601" i="19"/>
  <c r="F601" i="19"/>
  <c r="G601" i="19"/>
  <c r="H601" i="19"/>
  <c r="I601" i="19"/>
  <c r="J601" i="19"/>
  <c r="K601" i="19"/>
  <c r="L601" i="19"/>
  <c r="B604" i="19"/>
  <c r="A604" i="19"/>
  <c r="C604" i="19"/>
  <c r="D604" i="19"/>
  <c r="E604" i="19"/>
  <c r="F604" i="19"/>
  <c r="G604" i="19"/>
  <c r="H604" i="19"/>
  <c r="I604" i="19"/>
  <c r="J604" i="19"/>
  <c r="K604" i="19"/>
  <c r="L604" i="19"/>
  <c r="N604" i="19"/>
  <c r="O604" i="19"/>
  <c r="P604" i="19"/>
  <c r="Q604" i="19"/>
  <c r="R604" i="19"/>
  <c r="S604" i="19"/>
  <c r="T604" i="19"/>
  <c r="U604" i="19"/>
  <c r="V604" i="19"/>
  <c r="W604" i="19"/>
  <c r="B605" i="19"/>
  <c r="A605" i="19"/>
  <c r="C605" i="19"/>
  <c r="D605" i="19"/>
  <c r="E605" i="19"/>
  <c r="F605" i="19"/>
  <c r="G605" i="19"/>
  <c r="H605" i="19"/>
  <c r="I605" i="19"/>
  <c r="J605" i="19"/>
  <c r="K605" i="19"/>
  <c r="L605" i="19"/>
  <c r="N605" i="19"/>
  <c r="O605" i="19"/>
  <c r="P605" i="19"/>
  <c r="Q605" i="19"/>
  <c r="R605" i="19"/>
  <c r="S605" i="19"/>
  <c r="T605" i="19"/>
  <c r="U605" i="19"/>
  <c r="V605" i="19"/>
  <c r="W605" i="19"/>
  <c r="B606" i="19"/>
  <c r="A606" i="19"/>
  <c r="C606" i="19"/>
  <c r="D606" i="19"/>
  <c r="E606" i="19"/>
  <c r="F606" i="19"/>
  <c r="G606" i="19"/>
  <c r="H606" i="19"/>
  <c r="I606" i="19"/>
  <c r="J606" i="19"/>
  <c r="K606" i="19"/>
  <c r="L606" i="19"/>
  <c r="N606" i="19"/>
  <c r="O606" i="19"/>
  <c r="P606" i="19"/>
  <c r="Q606" i="19"/>
  <c r="R606" i="19"/>
  <c r="S606" i="19"/>
  <c r="T606" i="19"/>
  <c r="U606" i="19"/>
  <c r="V606" i="19"/>
  <c r="W606" i="19"/>
  <c r="B607" i="19"/>
  <c r="A607" i="19"/>
  <c r="C607" i="19"/>
  <c r="D607" i="19"/>
  <c r="E607" i="19"/>
  <c r="F607" i="19"/>
  <c r="G607" i="19"/>
  <c r="H607" i="19"/>
  <c r="I607" i="19"/>
  <c r="J607" i="19"/>
  <c r="K607" i="19"/>
  <c r="L607" i="19"/>
  <c r="N607" i="19"/>
  <c r="O607" i="19"/>
  <c r="P607" i="19"/>
  <c r="Q607" i="19"/>
  <c r="R607" i="19"/>
  <c r="S607" i="19"/>
  <c r="T607" i="19"/>
  <c r="U607" i="19"/>
  <c r="V607" i="19"/>
  <c r="W607" i="19"/>
  <c r="B608" i="19"/>
  <c r="A608" i="19"/>
  <c r="C608" i="19"/>
  <c r="D608" i="19"/>
  <c r="E608" i="19"/>
  <c r="F608" i="19"/>
  <c r="G608" i="19"/>
  <c r="H608" i="19"/>
  <c r="I608" i="19"/>
  <c r="J608" i="19"/>
  <c r="K608" i="19"/>
  <c r="L608" i="19"/>
  <c r="N608" i="19"/>
  <c r="O608" i="19"/>
  <c r="P608" i="19"/>
  <c r="Q608" i="19"/>
  <c r="R608" i="19"/>
  <c r="S608" i="19"/>
  <c r="T608" i="19"/>
  <c r="U608" i="19"/>
  <c r="V608" i="19"/>
  <c r="W608" i="19"/>
  <c r="B609" i="19"/>
  <c r="A609" i="19"/>
  <c r="C609" i="19"/>
  <c r="D609" i="19"/>
  <c r="E609" i="19"/>
  <c r="F609" i="19"/>
  <c r="G609" i="19"/>
  <c r="H609" i="19"/>
  <c r="I609" i="19"/>
  <c r="J609" i="19"/>
  <c r="K609" i="19"/>
  <c r="L609" i="19"/>
  <c r="N609" i="19"/>
  <c r="O609" i="19"/>
  <c r="P609" i="19"/>
  <c r="Q609" i="19"/>
  <c r="R609" i="19"/>
  <c r="S609" i="19"/>
  <c r="T609" i="19"/>
  <c r="U609" i="19"/>
  <c r="V609" i="19"/>
  <c r="W609" i="19"/>
  <c r="B610" i="19"/>
  <c r="A610" i="19"/>
  <c r="C610" i="19"/>
  <c r="D610" i="19"/>
  <c r="E610" i="19"/>
  <c r="F610" i="19"/>
  <c r="G610" i="19"/>
  <c r="H610" i="19"/>
  <c r="I610" i="19"/>
  <c r="J610" i="19"/>
  <c r="K610" i="19"/>
  <c r="L610" i="19"/>
  <c r="N610" i="19"/>
  <c r="O610" i="19"/>
  <c r="P610" i="19"/>
  <c r="Q610" i="19"/>
  <c r="R610" i="19"/>
  <c r="S610" i="19"/>
  <c r="T610" i="19"/>
  <c r="U610" i="19"/>
  <c r="V610" i="19"/>
  <c r="W610" i="19"/>
  <c r="B611" i="19"/>
  <c r="A611" i="19"/>
  <c r="C611" i="19"/>
  <c r="D611" i="19"/>
  <c r="E611" i="19"/>
  <c r="F611" i="19"/>
  <c r="G611" i="19"/>
  <c r="H611" i="19"/>
  <c r="I611" i="19"/>
  <c r="J611" i="19"/>
  <c r="K611" i="19"/>
  <c r="L611" i="19"/>
  <c r="N611" i="19"/>
  <c r="O611" i="19"/>
  <c r="P611" i="19"/>
  <c r="Q611" i="19"/>
  <c r="R611" i="19"/>
  <c r="S611" i="19"/>
  <c r="T611" i="19"/>
  <c r="U611" i="19"/>
  <c r="V611" i="19"/>
  <c r="W611" i="19"/>
  <c r="B612" i="19"/>
  <c r="A612" i="19"/>
  <c r="C612" i="19"/>
  <c r="D612" i="19"/>
  <c r="E612" i="19"/>
  <c r="F612" i="19"/>
  <c r="G612" i="19"/>
  <c r="H612" i="19"/>
  <c r="I612" i="19"/>
  <c r="J612" i="19"/>
  <c r="K612" i="19"/>
  <c r="L612" i="19"/>
  <c r="N612" i="19"/>
  <c r="O612" i="19"/>
  <c r="P612" i="19"/>
  <c r="Q612" i="19"/>
  <c r="R612" i="19"/>
  <c r="S612" i="19"/>
  <c r="T612" i="19"/>
  <c r="U612" i="19"/>
  <c r="V612" i="19"/>
  <c r="W612" i="19"/>
  <c r="B613" i="19"/>
  <c r="C613" i="19"/>
  <c r="D613" i="19"/>
  <c r="E613" i="19"/>
  <c r="F613" i="19"/>
  <c r="G613" i="19"/>
  <c r="H613" i="19"/>
  <c r="I613" i="19"/>
  <c r="J613" i="19"/>
  <c r="K613" i="19"/>
  <c r="L613" i="19"/>
  <c r="N613" i="19"/>
  <c r="O613" i="19"/>
  <c r="P613" i="19"/>
  <c r="Q613" i="19"/>
  <c r="R613" i="19"/>
  <c r="S613" i="19"/>
  <c r="T613" i="19"/>
  <c r="U613" i="19"/>
  <c r="V613" i="19"/>
  <c r="W613" i="19"/>
  <c r="C614" i="19"/>
  <c r="D614" i="19"/>
  <c r="E614" i="19"/>
  <c r="F614" i="19"/>
  <c r="G614" i="19"/>
  <c r="H614" i="19"/>
  <c r="I614" i="19"/>
  <c r="J614" i="19"/>
  <c r="K614" i="19"/>
  <c r="L614" i="19"/>
  <c r="B616" i="19"/>
  <c r="D616" i="19"/>
  <c r="E616" i="19"/>
  <c r="F616" i="19"/>
  <c r="G616" i="19"/>
  <c r="H616" i="19"/>
  <c r="I616" i="19"/>
  <c r="J616" i="19"/>
  <c r="K616" i="19"/>
  <c r="L616" i="19"/>
  <c r="N616" i="19"/>
  <c r="O616" i="19"/>
  <c r="P616" i="19"/>
  <c r="Q616" i="19"/>
  <c r="R616" i="19"/>
  <c r="S616" i="19"/>
  <c r="T616" i="19"/>
  <c r="U616" i="19"/>
  <c r="V616" i="19"/>
  <c r="W616" i="19"/>
  <c r="C617" i="19"/>
  <c r="D617" i="19"/>
  <c r="E617" i="19"/>
  <c r="F617" i="19"/>
  <c r="G617" i="19"/>
  <c r="H617" i="19"/>
  <c r="I617" i="19"/>
  <c r="J617" i="19"/>
  <c r="K617" i="19"/>
  <c r="L617" i="19"/>
  <c r="B620" i="19"/>
  <c r="A620" i="19"/>
  <c r="C620" i="19"/>
  <c r="D620" i="19"/>
  <c r="E620" i="19"/>
  <c r="F620" i="19"/>
  <c r="G620" i="19"/>
  <c r="H620" i="19"/>
  <c r="I620" i="19"/>
  <c r="J620" i="19"/>
  <c r="K620" i="19"/>
  <c r="L620" i="19"/>
  <c r="N620" i="19"/>
  <c r="O620" i="19"/>
  <c r="P620" i="19"/>
  <c r="Q620" i="19"/>
  <c r="R620" i="19"/>
  <c r="S620" i="19"/>
  <c r="T620" i="19"/>
  <c r="U620" i="19"/>
  <c r="V620" i="19"/>
  <c r="W620" i="19"/>
  <c r="B621" i="19"/>
  <c r="A621" i="19"/>
  <c r="C621" i="19"/>
  <c r="D621" i="19"/>
  <c r="E621" i="19"/>
  <c r="F621" i="19"/>
  <c r="G621" i="19"/>
  <c r="H621" i="19"/>
  <c r="I621" i="19"/>
  <c r="J621" i="19"/>
  <c r="K621" i="19"/>
  <c r="L621" i="19"/>
  <c r="N621" i="19"/>
  <c r="O621" i="19"/>
  <c r="P621" i="19"/>
  <c r="Q621" i="19"/>
  <c r="R621" i="19"/>
  <c r="S621" i="19"/>
  <c r="T621" i="19"/>
  <c r="U621" i="19"/>
  <c r="V621" i="19"/>
  <c r="W621" i="19"/>
  <c r="B622" i="19"/>
  <c r="A622" i="19"/>
  <c r="C622" i="19"/>
  <c r="D622" i="19"/>
  <c r="E622" i="19"/>
  <c r="F622" i="19"/>
  <c r="G622" i="19"/>
  <c r="H622" i="19"/>
  <c r="I622" i="19"/>
  <c r="J622" i="19"/>
  <c r="K622" i="19"/>
  <c r="L622" i="19"/>
  <c r="N622" i="19"/>
  <c r="O622" i="19"/>
  <c r="P622" i="19"/>
  <c r="Q622" i="19"/>
  <c r="R622" i="19"/>
  <c r="S622" i="19"/>
  <c r="T622" i="19"/>
  <c r="U622" i="19"/>
  <c r="V622" i="19"/>
  <c r="W622" i="19"/>
  <c r="B623" i="19"/>
  <c r="A623" i="19"/>
  <c r="C623" i="19"/>
  <c r="D623" i="19"/>
  <c r="E623" i="19"/>
  <c r="F623" i="19"/>
  <c r="G623" i="19"/>
  <c r="H623" i="19"/>
  <c r="I623" i="19"/>
  <c r="J623" i="19"/>
  <c r="K623" i="19"/>
  <c r="L623" i="19"/>
  <c r="N623" i="19"/>
  <c r="O623" i="19"/>
  <c r="P623" i="19"/>
  <c r="Q623" i="19"/>
  <c r="R623" i="19"/>
  <c r="S623" i="19"/>
  <c r="T623" i="19"/>
  <c r="U623" i="19"/>
  <c r="V623" i="19"/>
  <c r="W623" i="19"/>
  <c r="B624" i="19"/>
  <c r="A624" i="19"/>
  <c r="C624" i="19"/>
  <c r="D624" i="19"/>
  <c r="E624" i="19"/>
  <c r="F624" i="19"/>
  <c r="G624" i="19"/>
  <c r="H624" i="19"/>
  <c r="I624" i="19"/>
  <c r="J624" i="19"/>
  <c r="K624" i="19"/>
  <c r="L624" i="19"/>
  <c r="N624" i="19"/>
  <c r="O624" i="19"/>
  <c r="P624" i="19"/>
  <c r="Q624" i="19"/>
  <c r="R624" i="19"/>
  <c r="S624" i="19"/>
  <c r="T624" i="19"/>
  <c r="U624" i="19"/>
  <c r="V624" i="19"/>
  <c r="W624" i="19"/>
  <c r="B625" i="19"/>
  <c r="A625" i="19"/>
  <c r="C625" i="19"/>
  <c r="D625" i="19"/>
  <c r="E625" i="19"/>
  <c r="F625" i="19"/>
  <c r="G625" i="19"/>
  <c r="H625" i="19"/>
  <c r="I625" i="19"/>
  <c r="J625" i="19"/>
  <c r="K625" i="19"/>
  <c r="L625" i="19"/>
  <c r="N625" i="19"/>
  <c r="O625" i="19"/>
  <c r="P625" i="19"/>
  <c r="Q625" i="19"/>
  <c r="R625" i="19"/>
  <c r="S625" i="19"/>
  <c r="T625" i="19"/>
  <c r="U625" i="19"/>
  <c r="V625" i="19"/>
  <c r="W625" i="19"/>
  <c r="B626" i="19"/>
  <c r="A626" i="19"/>
  <c r="C626" i="19"/>
  <c r="D626" i="19"/>
  <c r="E626" i="19"/>
  <c r="F626" i="19"/>
  <c r="G626" i="19"/>
  <c r="H626" i="19"/>
  <c r="I626" i="19"/>
  <c r="J626" i="19"/>
  <c r="K626" i="19"/>
  <c r="L626" i="19"/>
  <c r="N626" i="19"/>
  <c r="O626" i="19"/>
  <c r="P626" i="19"/>
  <c r="Q626" i="19"/>
  <c r="R626" i="19"/>
  <c r="S626" i="19"/>
  <c r="T626" i="19"/>
  <c r="U626" i="19"/>
  <c r="V626" i="19"/>
  <c r="W626" i="19"/>
  <c r="B627" i="19"/>
  <c r="A627" i="19"/>
  <c r="C627" i="19"/>
  <c r="D627" i="19"/>
  <c r="E627" i="19"/>
  <c r="F627" i="19"/>
  <c r="G627" i="19"/>
  <c r="H627" i="19"/>
  <c r="I627" i="19"/>
  <c r="J627" i="19"/>
  <c r="K627" i="19"/>
  <c r="L627" i="19"/>
  <c r="N627" i="19"/>
  <c r="O627" i="19"/>
  <c r="P627" i="19"/>
  <c r="Q627" i="19"/>
  <c r="R627" i="19"/>
  <c r="S627" i="19"/>
  <c r="T627" i="19"/>
  <c r="U627" i="19"/>
  <c r="V627" i="19"/>
  <c r="W627" i="19"/>
  <c r="B628" i="19"/>
  <c r="A628" i="19"/>
  <c r="C628" i="19"/>
  <c r="D628" i="19"/>
  <c r="E628" i="19"/>
  <c r="F628" i="19"/>
  <c r="G628" i="19"/>
  <c r="H628" i="19"/>
  <c r="I628" i="19"/>
  <c r="J628" i="19"/>
  <c r="K628" i="19"/>
  <c r="L628" i="19"/>
  <c r="N628" i="19"/>
  <c r="O628" i="19"/>
  <c r="P628" i="19"/>
  <c r="Q628" i="19"/>
  <c r="R628" i="19"/>
  <c r="S628" i="19"/>
  <c r="T628" i="19"/>
  <c r="U628" i="19"/>
  <c r="V628" i="19"/>
  <c r="W628" i="19"/>
  <c r="B629" i="19"/>
  <c r="C629" i="19"/>
  <c r="D629" i="19"/>
  <c r="E629" i="19"/>
  <c r="F629" i="19"/>
  <c r="G629" i="19"/>
  <c r="H629" i="19"/>
  <c r="I629" i="19"/>
  <c r="J629" i="19"/>
  <c r="K629" i="19"/>
  <c r="L629" i="19"/>
  <c r="N629" i="19"/>
  <c r="O629" i="19"/>
  <c r="P629" i="19"/>
  <c r="Q629" i="19"/>
  <c r="R629" i="19"/>
  <c r="S629" i="19"/>
  <c r="T629" i="19"/>
  <c r="U629" i="19"/>
  <c r="V629" i="19"/>
  <c r="W629" i="19"/>
  <c r="C630" i="19"/>
  <c r="D630" i="19"/>
  <c r="E630" i="19"/>
  <c r="F630" i="19"/>
  <c r="G630" i="19"/>
  <c r="H630" i="19"/>
  <c r="I630" i="19"/>
  <c r="J630" i="19"/>
  <c r="K630" i="19"/>
  <c r="L630" i="19"/>
  <c r="B632" i="19"/>
  <c r="D632" i="19"/>
  <c r="E632" i="19"/>
  <c r="F632" i="19"/>
  <c r="G632" i="19"/>
  <c r="H632" i="19"/>
  <c r="I632" i="19"/>
  <c r="J632" i="19"/>
  <c r="K632" i="19"/>
  <c r="L632" i="19"/>
  <c r="N632" i="19"/>
  <c r="O632" i="19"/>
  <c r="P632" i="19"/>
  <c r="Q632" i="19"/>
  <c r="R632" i="19"/>
  <c r="S632" i="19"/>
  <c r="T632" i="19"/>
  <c r="U632" i="19"/>
  <c r="V632" i="19"/>
  <c r="W632" i="19"/>
  <c r="C633" i="19"/>
  <c r="D633" i="19"/>
  <c r="E633" i="19"/>
  <c r="F633" i="19"/>
  <c r="G633" i="19"/>
  <c r="H633" i="19"/>
  <c r="I633" i="19"/>
  <c r="J633" i="19"/>
  <c r="K633" i="19"/>
  <c r="L633" i="19"/>
  <c r="B636" i="19"/>
  <c r="A636" i="19"/>
  <c r="C636" i="19"/>
  <c r="D636" i="19"/>
  <c r="E636" i="19"/>
  <c r="F636" i="19"/>
  <c r="G636" i="19"/>
  <c r="H636" i="19"/>
  <c r="I636" i="19"/>
  <c r="J636" i="19"/>
  <c r="K636" i="19"/>
  <c r="L636" i="19"/>
  <c r="N636" i="19"/>
  <c r="O636" i="19"/>
  <c r="P636" i="19"/>
  <c r="Q636" i="19"/>
  <c r="R636" i="19"/>
  <c r="S636" i="19"/>
  <c r="T636" i="19"/>
  <c r="U636" i="19"/>
  <c r="V636" i="19"/>
  <c r="W636" i="19"/>
  <c r="B637" i="19"/>
  <c r="A637" i="19"/>
  <c r="C637" i="19"/>
  <c r="D637" i="19"/>
  <c r="E637" i="19"/>
  <c r="F637" i="19"/>
  <c r="G637" i="19"/>
  <c r="H637" i="19"/>
  <c r="I637" i="19"/>
  <c r="J637" i="19"/>
  <c r="K637" i="19"/>
  <c r="L637" i="19"/>
  <c r="N637" i="19"/>
  <c r="O637" i="19"/>
  <c r="P637" i="19"/>
  <c r="Q637" i="19"/>
  <c r="R637" i="19"/>
  <c r="S637" i="19"/>
  <c r="T637" i="19"/>
  <c r="U637" i="19"/>
  <c r="V637" i="19"/>
  <c r="W637" i="19"/>
  <c r="B638" i="19"/>
  <c r="A638" i="19"/>
  <c r="C638" i="19"/>
  <c r="D638" i="19"/>
  <c r="E638" i="19"/>
  <c r="F638" i="19"/>
  <c r="G638" i="19"/>
  <c r="H638" i="19"/>
  <c r="I638" i="19"/>
  <c r="J638" i="19"/>
  <c r="K638" i="19"/>
  <c r="L638" i="19"/>
  <c r="N638" i="19"/>
  <c r="O638" i="19"/>
  <c r="P638" i="19"/>
  <c r="Q638" i="19"/>
  <c r="R638" i="19"/>
  <c r="S638" i="19"/>
  <c r="T638" i="19"/>
  <c r="U638" i="19"/>
  <c r="V638" i="19"/>
  <c r="W638" i="19"/>
  <c r="B639" i="19"/>
  <c r="A639" i="19"/>
  <c r="C639" i="19"/>
  <c r="D639" i="19"/>
  <c r="E639" i="19"/>
  <c r="F639" i="19"/>
  <c r="G639" i="19"/>
  <c r="H639" i="19"/>
  <c r="I639" i="19"/>
  <c r="J639" i="19"/>
  <c r="K639" i="19"/>
  <c r="L639" i="19"/>
  <c r="N639" i="19"/>
  <c r="O639" i="19"/>
  <c r="P639" i="19"/>
  <c r="Q639" i="19"/>
  <c r="R639" i="19"/>
  <c r="S639" i="19"/>
  <c r="T639" i="19"/>
  <c r="U639" i="19"/>
  <c r="V639" i="19"/>
  <c r="W639" i="19"/>
  <c r="B640" i="19"/>
  <c r="A640" i="19"/>
  <c r="C640" i="19"/>
  <c r="D640" i="19"/>
  <c r="E640" i="19"/>
  <c r="F640" i="19"/>
  <c r="G640" i="19"/>
  <c r="H640" i="19"/>
  <c r="I640" i="19"/>
  <c r="J640" i="19"/>
  <c r="K640" i="19"/>
  <c r="L640" i="19"/>
  <c r="N640" i="19"/>
  <c r="O640" i="19"/>
  <c r="P640" i="19"/>
  <c r="Q640" i="19"/>
  <c r="R640" i="19"/>
  <c r="S640" i="19"/>
  <c r="T640" i="19"/>
  <c r="U640" i="19"/>
  <c r="V640" i="19"/>
  <c r="W640" i="19"/>
  <c r="B641" i="19"/>
  <c r="A641" i="19"/>
  <c r="C641" i="19"/>
  <c r="D641" i="19"/>
  <c r="E641" i="19"/>
  <c r="F641" i="19"/>
  <c r="G641" i="19"/>
  <c r="H641" i="19"/>
  <c r="I641" i="19"/>
  <c r="J641" i="19"/>
  <c r="K641" i="19"/>
  <c r="L641" i="19"/>
  <c r="N641" i="19"/>
  <c r="O641" i="19"/>
  <c r="P641" i="19"/>
  <c r="Q641" i="19"/>
  <c r="R641" i="19"/>
  <c r="S641" i="19"/>
  <c r="T641" i="19"/>
  <c r="U641" i="19"/>
  <c r="V641" i="19"/>
  <c r="W641" i="19"/>
  <c r="B642" i="19"/>
  <c r="A642" i="19"/>
  <c r="C642" i="19"/>
  <c r="D642" i="19"/>
  <c r="E642" i="19"/>
  <c r="F642" i="19"/>
  <c r="G642" i="19"/>
  <c r="H642" i="19"/>
  <c r="I642" i="19"/>
  <c r="J642" i="19"/>
  <c r="K642" i="19"/>
  <c r="L642" i="19"/>
  <c r="N642" i="19"/>
  <c r="O642" i="19"/>
  <c r="P642" i="19"/>
  <c r="Q642" i="19"/>
  <c r="R642" i="19"/>
  <c r="S642" i="19"/>
  <c r="T642" i="19"/>
  <c r="U642" i="19"/>
  <c r="V642" i="19"/>
  <c r="W642" i="19"/>
  <c r="B643" i="19"/>
  <c r="A643" i="19"/>
  <c r="C643" i="19"/>
  <c r="D643" i="19"/>
  <c r="E643" i="19"/>
  <c r="F643" i="19"/>
  <c r="G643" i="19"/>
  <c r="H643" i="19"/>
  <c r="I643" i="19"/>
  <c r="J643" i="19"/>
  <c r="K643" i="19"/>
  <c r="L643" i="19"/>
  <c r="N643" i="19"/>
  <c r="O643" i="19"/>
  <c r="P643" i="19"/>
  <c r="Q643" i="19"/>
  <c r="R643" i="19"/>
  <c r="S643" i="19"/>
  <c r="T643" i="19"/>
  <c r="U643" i="19"/>
  <c r="V643" i="19"/>
  <c r="W643" i="19"/>
  <c r="B644" i="19"/>
  <c r="A644" i="19"/>
  <c r="C644" i="19"/>
  <c r="D644" i="19"/>
  <c r="E644" i="19"/>
  <c r="F644" i="19"/>
  <c r="G644" i="19"/>
  <c r="H644" i="19"/>
  <c r="I644" i="19"/>
  <c r="J644" i="19"/>
  <c r="K644" i="19"/>
  <c r="L644" i="19"/>
  <c r="N644" i="19"/>
  <c r="O644" i="19"/>
  <c r="P644" i="19"/>
  <c r="Q644" i="19"/>
  <c r="R644" i="19"/>
  <c r="S644" i="19"/>
  <c r="T644" i="19"/>
  <c r="U644" i="19"/>
  <c r="V644" i="19"/>
  <c r="W644" i="19"/>
  <c r="B645" i="19"/>
  <c r="C645" i="19"/>
  <c r="D645" i="19"/>
  <c r="E645" i="19"/>
  <c r="F645" i="19"/>
  <c r="G645" i="19"/>
  <c r="H645" i="19"/>
  <c r="I645" i="19"/>
  <c r="J645" i="19"/>
  <c r="K645" i="19"/>
  <c r="L645" i="19"/>
  <c r="N645" i="19"/>
  <c r="O645" i="19"/>
  <c r="P645" i="19"/>
  <c r="Q645" i="19"/>
  <c r="R645" i="19"/>
  <c r="S645" i="19"/>
  <c r="T645" i="19"/>
  <c r="U645" i="19"/>
  <c r="V645" i="19"/>
  <c r="W645" i="19"/>
  <c r="C646" i="19"/>
  <c r="D646" i="19"/>
  <c r="E646" i="19"/>
  <c r="F646" i="19"/>
  <c r="G646" i="19"/>
  <c r="H646" i="19"/>
  <c r="I646" i="19"/>
  <c r="J646" i="19"/>
  <c r="K646" i="19"/>
  <c r="L646" i="19"/>
  <c r="B648" i="19"/>
  <c r="D648" i="19"/>
  <c r="E648" i="19"/>
  <c r="F648" i="19"/>
  <c r="G648" i="19"/>
  <c r="H648" i="19"/>
  <c r="I648" i="19"/>
  <c r="J648" i="19"/>
  <c r="K648" i="19"/>
  <c r="L648" i="19"/>
  <c r="N648" i="19"/>
  <c r="O648" i="19"/>
  <c r="P648" i="19"/>
  <c r="Q648" i="19"/>
  <c r="R648" i="19"/>
  <c r="S648" i="19"/>
  <c r="T648" i="19"/>
  <c r="U648" i="19"/>
  <c r="V648" i="19"/>
  <c r="W648" i="19"/>
  <c r="C649" i="19"/>
  <c r="D649" i="19"/>
  <c r="E649" i="19"/>
  <c r="F649" i="19"/>
  <c r="G649" i="19"/>
  <c r="H649" i="19"/>
  <c r="I649" i="19"/>
  <c r="J649" i="19"/>
  <c r="K649" i="19"/>
  <c r="L649" i="19"/>
  <c r="B652" i="19"/>
  <c r="A652" i="19"/>
  <c r="C652" i="19"/>
  <c r="D652" i="19"/>
  <c r="E652" i="19"/>
  <c r="F652" i="19"/>
  <c r="G652" i="19"/>
  <c r="H652" i="19"/>
  <c r="I652" i="19"/>
  <c r="J652" i="19"/>
  <c r="K652" i="19"/>
  <c r="L652" i="19"/>
  <c r="N652" i="19"/>
  <c r="O652" i="19"/>
  <c r="P652" i="19"/>
  <c r="Q652" i="19"/>
  <c r="R652" i="19"/>
  <c r="S652" i="19"/>
  <c r="T652" i="19"/>
  <c r="U652" i="19"/>
  <c r="V652" i="19"/>
  <c r="W652" i="19"/>
  <c r="B653" i="19"/>
  <c r="A653" i="19"/>
  <c r="C653" i="19"/>
  <c r="D653" i="19"/>
  <c r="E653" i="19"/>
  <c r="F653" i="19"/>
  <c r="G653" i="19"/>
  <c r="H653" i="19"/>
  <c r="I653" i="19"/>
  <c r="J653" i="19"/>
  <c r="K653" i="19"/>
  <c r="L653" i="19"/>
  <c r="N653" i="19"/>
  <c r="O653" i="19"/>
  <c r="P653" i="19"/>
  <c r="Q653" i="19"/>
  <c r="R653" i="19"/>
  <c r="S653" i="19"/>
  <c r="T653" i="19"/>
  <c r="U653" i="19"/>
  <c r="V653" i="19"/>
  <c r="W653" i="19"/>
  <c r="B654" i="19"/>
  <c r="A654" i="19"/>
  <c r="C654" i="19"/>
  <c r="D654" i="19"/>
  <c r="E654" i="19"/>
  <c r="F654" i="19"/>
  <c r="G654" i="19"/>
  <c r="H654" i="19"/>
  <c r="I654" i="19"/>
  <c r="J654" i="19"/>
  <c r="K654" i="19"/>
  <c r="L654" i="19"/>
  <c r="N654" i="19"/>
  <c r="O654" i="19"/>
  <c r="P654" i="19"/>
  <c r="Q654" i="19"/>
  <c r="R654" i="19"/>
  <c r="S654" i="19"/>
  <c r="T654" i="19"/>
  <c r="U654" i="19"/>
  <c r="V654" i="19"/>
  <c r="W654" i="19"/>
  <c r="B655" i="19"/>
  <c r="A655" i="19"/>
  <c r="C655" i="19"/>
  <c r="D655" i="19"/>
  <c r="E655" i="19"/>
  <c r="F655" i="19"/>
  <c r="G655" i="19"/>
  <c r="H655" i="19"/>
  <c r="I655" i="19"/>
  <c r="J655" i="19"/>
  <c r="K655" i="19"/>
  <c r="L655" i="19"/>
  <c r="N655" i="19"/>
  <c r="O655" i="19"/>
  <c r="P655" i="19"/>
  <c r="Q655" i="19"/>
  <c r="R655" i="19"/>
  <c r="S655" i="19"/>
  <c r="T655" i="19"/>
  <c r="U655" i="19"/>
  <c r="V655" i="19"/>
  <c r="W655" i="19"/>
  <c r="B656" i="19"/>
  <c r="A656" i="19"/>
  <c r="C656" i="19"/>
  <c r="D656" i="19"/>
  <c r="E656" i="19"/>
  <c r="F656" i="19"/>
  <c r="G656" i="19"/>
  <c r="H656" i="19"/>
  <c r="I656" i="19"/>
  <c r="J656" i="19"/>
  <c r="K656" i="19"/>
  <c r="L656" i="19"/>
  <c r="N656" i="19"/>
  <c r="O656" i="19"/>
  <c r="P656" i="19"/>
  <c r="Q656" i="19"/>
  <c r="R656" i="19"/>
  <c r="S656" i="19"/>
  <c r="T656" i="19"/>
  <c r="U656" i="19"/>
  <c r="V656" i="19"/>
  <c r="W656" i="19"/>
  <c r="B657" i="19"/>
  <c r="A657" i="19"/>
  <c r="C657" i="19"/>
  <c r="D657" i="19"/>
  <c r="E657" i="19"/>
  <c r="F657" i="19"/>
  <c r="G657" i="19"/>
  <c r="H657" i="19"/>
  <c r="I657" i="19"/>
  <c r="J657" i="19"/>
  <c r="K657" i="19"/>
  <c r="L657" i="19"/>
  <c r="N657" i="19"/>
  <c r="O657" i="19"/>
  <c r="P657" i="19"/>
  <c r="Q657" i="19"/>
  <c r="R657" i="19"/>
  <c r="S657" i="19"/>
  <c r="T657" i="19"/>
  <c r="U657" i="19"/>
  <c r="V657" i="19"/>
  <c r="W657" i="19"/>
  <c r="B658" i="19"/>
  <c r="A658" i="19"/>
  <c r="C658" i="19"/>
  <c r="D658" i="19"/>
  <c r="E658" i="19"/>
  <c r="F658" i="19"/>
  <c r="G658" i="19"/>
  <c r="H658" i="19"/>
  <c r="I658" i="19"/>
  <c r="J658" i="19"/>
  <c r="K658" i="19"/>
  <c r="L658" i="19"/>
  <c r="N658" i="19"/>
  <c r="O658" i="19"/>
  <c r="P658" i="19"/>
  <c r="Q658" i="19"/>
  <c r="R658" i="19"/>
  <c r="S658" i="19"/>
  <c r="T658" i="19"/>
  <c r="U658" i="19"/>
  <c r="V658" i="19"/>
  <c r="W658" i="19"/>
  <c r="B659" i="19"/>
  <c r="A659" i="19"/>
  <c r="C659" i="19"/>
  <c r="D659" i="19"/>
  <c r="E659" i="19"/>
  <c r="F659" i="19"/>
  <c r="G659" i="19"/>
  <c r="H659" i="19"/>
  <c r="I659" i="19"/>
  <c r="J659" i="19"/>
  <c r="K659" i="19"/>
  <c r="L659" i="19"/>
  <c r="N659" i="19"/>
  <c r="O659" i="19"/>
  <c r="P659" i="19"/>
  <c r="Q659" i="19"/>
  <c r="R659" i="19"/>
  <c r="S659" i="19"/>
  <c r="T659" i="19"/>
  <c r="U659" i="19"/>
  <c r="V659" i="19"/>
  <c r="W659" i="19"/>
  <c r="B660" i="19"/>
  <c r="A660" i="19"/>
  <c r="C660" i="19"/>
  <c r="D660" i="19"/>
  <c r="E660" i="19"/>
  <c r="F660" i="19"/>
  <c r="G660" i="19"/>
  <c r="H660" i="19"/>
  <c r="I660" i="19"/>
  <c r="J660" i="19"/>
  <c r="K660" i="19"/>
  <c r="L660" i="19"/>
  <c r="N660" i="19"/>
  <c r="O660" i="19"/>
  <c r="P660" i="19"/>
  <c r="Q660" i="19"/>
  <c r="R660" i="19"/>
  <c r="S660" i="19"/>
  <c r="T660" i="19"/>
  <c r="U660" i="19"/>
  <c r="V660" i="19"/>
  <c r="W660" i="19"/>
  <c r="B661" i="19"/>
  <c r="C661" i="19"/>
  <c r="D661" i="19"/>
  <c r="E661" i="19"/>
  <c r="F661" i="19"/>
  <c r="G661" i="19"/>
  <c r="H661" i="19"/>
  <c r="I661" i="19"/>
  <c r="J661" i="19"/>
  <c r="K661" i="19"/>
  <c r="L661" i="19"/>
  <c r="N661" i="19"/>
  <c r="O661" i="19"/>
  <c r="P661" i="19"/>
  <c r="Q661" i="19"/>
  <c r="R661" i="19"/>
  <c r="S661" i="19"/>
  <c r="T661" i="19"/>
  <c r="U661" i="19"/>
  <c r="V661" i="19"/>
  <c r="W661" i="19"/>
  <c r="C662" i="19"/>
  <c r="D662" i="19"/>
  <c r="E662" i="19"/>
  <c r="F662" i="19"/>
  <c r="G662" i="19"/>
  <c r="H662" i="19"/>
  <c r="I662" i="19"/>
  <c r="J662" i="19"/>
  <c r="K662" i="19"/>
  <c r="L662" i="19"/>
  <c r="B664" i="19"/>
  <c r="D664" i="19"/>
  <c r="E664" i="19"/>
  <c r="F664" i="19"/>
  <c r="G664" i="19"/>
  <c r="H664" i="19"/>
  <c r="I664" i="19"/>
  <c r="J664" i="19"/>
  <c r="K664" i="19"/>
  <c r="L664" i="19"/>
  <c r="N664" i="19"/>
  <c r="O664" i="19"/>
  <c r="P664" i="19"/>
  <c r="Q664" i="19"/>
  <c r="R664" i="19"/>
  <c r="S664" i="19"/>
  <c r="T664" i="19"/>
  <c r="U664" i="19"/>
  <c r="V664" i="19"/>
  <c r="W664" i="19"/>
  <c r="C665" i="19"/>
  <c r="D665" i="19"/>
  <c r="E665" i="19"/>
  <c r="F665" i="19"/>
  <c r="G665" i="19"/>
  <c r="H665" i="19"/>
  <c r="I665" i="19"/>
  <c r="J665" i="19"/>
  <c r="K665" i="19"/>
  <c r="L665" i="19"/>
  <c r="B668" i="19"/>
  <c r="A668" i="19"/>
  <c r="C668" i="19"/>
  <c r="D668" i="19"/>
  <c r="E668" i="19"/>
  <c r="F668" i="19"/>
  <c r="G668" i="19"/>
  <c r="H668" i="19"/>
  <c r="I668" i="19"/>
  <c r="J668" i="19"/>
  <c r="K668" i="19"/>
  <c r="L668" i="19"/>
  <c r="N668" i="19"/>
  <c r="O668" i="19"/>
  <c r="P668" i="19"/>
  <c r="Q668" i="19"/>
  <c r="R668" i="19"/>
  <c r="S668" i="19"/>
  <c r="T668" i="19"/>
  <c r="U668" i="19"/>
  <c r="V668" i="19"/>
  <c r="W668" i="19"/>
  <c r="B669" i="19"/>
  <c r="A669" i="19"/>
  <c r="C669" i="19"/>
  <c r="D669" i="19"/>
  <c r="E669" i="19"/>
  <c r="F669" i="19"/>
  <c r="G669" i="19"/>
  <c r="H669" i="19"/>
  <c r="I669" i="19"/>
  <c r="J669" i="19"/>
  <c r="K669" i="19"/>
  <c r="L669" i="19"/>
  <c r="N669" i="19"/>
  <c r="O669" i="19"/>
  <c r="P669" i="19"/>
  <c r="Q669" i="19"/>
  <c r="R669" i="19"/>
  <c r="S669" i="19"/>
  <c r="T669" i="19"/>
  <c r="U669" i="19"/>
  <c r="V669" i="19"/>
  <c r="W669" i="19"/>
  <c r="B670" i="19"/>
  <c r="A670" i="19"/>
  <c r="C670" i="19"/>
  <c r="D670" i="19"/>
  <c r="E670" i="19"/>
  <c r="F670" i="19"/>
  <c r="G670" i="19"/>
  <c r="H670" i="19"/>
  <c r="I670" i="19"/>
  <c r="J670" i="19"/>
  <c r="K670" i="19"/>
  <c r="L670" i="19"/>
  <c r="N670" i="19"/>
  <c r="O670" i="19"/>
  <c r="P670" i="19"/>
  <c r="Q670" i="19"/>
  <c r="R670" i="19"/>
  <c r="S670" i="19"/>
  <c r="T670" i="19"/>
  <c r="U670" i="19"/>
  <c r="V670" i="19"/>
  <c r="W670" i="19"/>
  <c r="B671" i="19"/>
  <c r="A671" i="19"/>
  <c r="C671" i="19"/>
  <c r="D671" i="19"/>
  <c r="E671" i="19"/>
  <c r="F671" i="19"/>
  <c r="G671" i="19"/>
  <c r="H671" i="19"/>
  <c r="I671" i="19"/>
  <c r="J671" i="19"/>
  <c r="K671" i="19"/>
  <c r="L671" i="19"/>
  <c r="N671" i="19"/>
  <c r="O671" i="19"/>
  <c r="P671" i="19"/>
  <c r="Q671" i="19"/>
  <c r="R671" i="19"/>
  <c r="S671" i="19"/>
  <c r="T671" i="19"/>
  <c r="U671" i="19"/>
  <c r="V671" i="19"/>
  <c r="W671" i="19"/>
  <c r="B672" i="19"/>
  <c r="A672" i="19"/>
  <c r="C672" i="19"/>
  <c r="D672" i="19"/>
  <c r="E672" i="19"/>
  <c r="F672" i="19"/>
  <c r="G672" i="19"/>
  <c r="H672" i="19"/>
  <c r="I672" i="19"/>
  <c r="J672" i="19"/>
  <c r="K672" i="19"/>
  <c r="L672" i="19"/>
  <c r="N672" i="19"/>
  <c r="O672" i="19"/>
  <c r="P672" i="19"/>
  <c r="Q672" i="19"/>
  <c r="R672" i="19"/>
  <c r="S672" i="19"/>
  <c r="T672" i="19"/>
  <c r="U672" i="19"/>
  <c r="V672" i="19"/>
  <c r="W672" i="19"/>
  <c r="B673" i="19"/>
  <c r="A673" i="19"/>
  <c r="C673" i="19"/>
  <c r="D673" i="19"/>
  <c r="E673" i="19"/>
  <c r="F673" i="19"/>
  <c r="G673" i="19"/>
  <c r="H673" i="19"/>
  <c r="I673" i="19"/>
  <c r="J673" i="19"/>
  <c r="K673" i="19"/>
  <c r="L673" i="19"/>
  <c r="N673" i="19"/>
  <c r="O673" i="19"/>
  <c r="P673" i="19"/>
  <c r="Q673" i="19"/>
  <c r="R673" i="19"/>
  <c r="S673" i="19"/>
  <c r="T673" i="19"/>
  <c r="U673" i="19"/>
  <c r="V673" i="19"/>
  <c r="W673" i="19"/>
  <c r="B674" i="19"/>
  <c r="A674" i="19"/>
  <c r="C674" i="19"/>
  <c r="D674" i="19"/>
  <c r="E674" i="19"/>
  <c r="F674" i="19"/>
  <c r="G674" i="19"/>
  <c r="H674" i="19"/>
  <c r="I674" i="19"/>
  <c r="J674" i="19"/>
  <c r="K674" i="19"/>
  <c r="L674" i="19"/>
  <c r="N674" i="19"/>
  <c r="O674" i="19"/>
  <c r="P674" i="19"/>
  <c r="Q674" i="19"/>
  <c r="R674" i="19"/>
  <c r="S674" i="19"/>
  <c r="T674" i="19"/>
  <c r="U674" i="19"/>
  <c r="V674" i="19"/>
  <c r="W674" i="19"/>
  <c r="B675" i="19"/>
  <c r="A675" i="19"/>
  <c r="C675" i="19"/>
  <c r="D675" i="19"/>
  <c r="E675" i="19"/>
  <c r="F675" i="19"/>
  <c r="G675" i="19"/>
  <c r="H675" i="19"/>
  <c r="I675" i="19"/>
  <c r="J675" i="19"/>
  <c r="K675" i="19"/>
  <c r="L675" i="19"/>
  <c r="N675" i="19"/>
  <c r="O675" i="19"/>
  <c r="P675" i="19"/>
  <c r="Q675" i="19"/>
  <c r="R675" i="19"/>
  <c r="S675" i="19"/>
  <c r="T675" i="19"/>
  <c r="U675" i="19"/>
  <c r="V675" i="19"/>
  <c r="W675" i="19"/>
  <c r="B676" i="19"/>
  <c r="A676" i="19"/>
  <c r="C676" i="19"/>
  <c r="D676" i="19"/>
  <c r="E676" i="19"/>
  <c r="F676" i="19"/>
  <c r="G676" i="19"/>
  <c r="H676" i="19"/>
  <c r="I676" i="19"/>
  <c r="J676" i="19"/>
  <c r="K676" i="19"/>
  <c r="L676" i="19"/>
  <c r="N676" i="19"/>
  <c r="O676" i="19"/>
  <c r="P676" i="19"/>
  <c r="Q676" i="19"/>
  <c r="R676" i="19"/>
  <c r="S676" i="19"/>
  <c r="T676" i="19"/>
  <c r="U676" i="19"/>
  <c r="V676" i="19"/>
  <c r="W676" i="19"/>
  <c r="B677" i="19"/>
  <c r="C677" i="19"/>
  <c r="D677" i="19"/>
  <c r="E677" i="19"/>
  <c r="F677" i="19"/>
  <c r="G677" i="19"/>
  <c r="H677" i="19"/>
  <c r="I677" i="19"/>
  <c r="J677" i="19"/>
  <c r="K677" i="19"/>
  <c r="L677" i="19"/>
  <c r="N677" i="19"/>
  <c r="O677" i="19"/>
  <c r="P677" i="19"/>
  <c r="Q677" i="19"/>
  <c r="R677" i="19"/>
  <c r="S677" i="19"/>
  <c r="T677" i="19"/>
  <c r="U677" i="19"/>
  <c r="V677" i="19"/>
  <c r="W677" i="19"/>
  <c r="C678" i="19"/>
  <c r="D678" i="19"/>
  <c r="E678" i="19"/>
  <c r="F678" i="19"/>
  <c r="G678" i="19"/>
  <c r="H678" i="19"/>
  <c r="I678" i="19"/>
  <c r="J678" i="19"/>
  <c r="K678" i="19"/>
  <c r="L678" i="19"/>
  <c r="B680" i="19"/>
  <c r="D680" i="19"/>
  <c r="E680" i="19"/>
  <c r="F680" i="19"/>
  <c r="G680" i="19"/>
  <c r="H680" i="19"/>
  <c r="I680" i="19"/>
  <c r="J680" i="19"/>
  <c r="K680" i="19"/>
  <c r="L680" i="19"/>
  <c r="N680" i="19"/>
  <c r="O680" i="19"/>
  <c r="P680" i="19"/>
  <c r="Q680" i="19"/>
  <c r="R680" i="19"/>
  <c r="S680" i="19"/>
  <c r="T680" i="19"/>
  <c r="U680" i="19"/>
  <c r="V680" i="19"/>
  <c r="W680" i="19"/>
  <c r="C681" i="19"/>
  <c r="D681" i="19"/>
  <c r="E681" i="19"/>
  <c r="F681" i="19"/>
  <c r="G681" i="19"/>
  <c r="H681" i="19"/>
  <c r="I681" i="19"/>
  <c r="J681" i="19"/>
  <c r="K681" i="19"/>
  <c r="L681" i="19"/>
  <c r="B684" i="19"/>
  <c r="A684" i="19"/>
  <c r="C684" i="19"/>
  <c r="D684" i="19"/>
  <c r="E684" i="19"/>
  <c r="F684" i="19"/>
  <c r="G684" i="19"/>
  <c r="H684" i="19"/>
  <c r="I684" i="19"/>
  <c r="J684" i="19"/>
  <c r="K684" i="19"/>
  <c r="L684" i="19"/>
  <c r="N684" i="19"/>
  <c r="O684" i="19"/>
  <c r="P684" i="19"/>
  <c r="Q684" i="19"/>
  <c r="R684" i="19"/>
  <c r="S684" i="19"/>
  <c r="T684" i="19"/>
  <c r="U684" i="19"/>
  <c r="V684" i="19"/>
  <c r="W684" i="19"/>
  <c r="B685" i="19"/>
  <c r="A685" i="19"/>
  <c r="C685" i="19"/>
  <c r="D685" i="19"/>
  <c r="E685" i="19"/>
  <c r="F685" i="19"/>
  <c r="G685" i="19"/>
  <c r="H685" i="19"/>
  <c r="I685" i="19"/>
  <c r="J685" i="19"/>
  <c r="K685" i="19"/>
  <c r="L685" i="19"/>
  <c r="N685" i="19"/>
  <c r="O685" i="19"/>
  <c r="P685" i="19"/>
  <c r="Q685" i="19"/>
  <c r="R685" i="19"/>
  <c r="S685" i="19"/>
  <c r="T685" i="19"/>
  <c r="U685" i="19"/>
  <c r="V685" i="19"/>
  <c r="W685" i="19"/>
  <c r="B686" i="19"/>
  <c r="A686" i="19"/>
  <c r="C686" i="19"/>
  <c r="D686" i="19"/>
  <c r="E686" i="19"/>
  <c r="F686" i="19"/>
  <c r="G686" i="19"/>
  <c r="H686" i="19"/>
  <c r="I686" i="19"/>
  <c r="J686" i="19"/>
  <c r="K686" i="19"/>
  <c r="L686" i="19"/>
  <c r="N686" i="19"/>
  <c r="O686" i="19"/>
  <c r="P686" i="19"/>
  <c r="Q686" i="19"/>
  <c r="R686" i="19"/>
  <c r="S686" i="19"/>
  <c r="T686" i="19"/>
  <c r="U686" i="19"/>
  <c r="V686" i="19"/>
  <c r="W686" i="19"/>
  <c r="B687" i="19"/>
  <c r="A687" i="19"/>
  <c r="C687" i="19"/>
  <c r="D687" i="19"/>
  <c r="E687" i="19"/>
  <c r="F687" i="19"/>
  <c r="G687" i="19"/>
  <c r="H687" i="19"/>
  <c r="I687" i="19"/>
  <c r="J687" i="19"/>
  <c r="K687" i="19"/>
  <c r="L687" i="19"/>
  <c r="N687" i="19"/>
  <c r="O687" i="19"/>
  <c r="P687" i="19"/>
  <c r="Q687" i="19"/>
  <c r="R687" i="19"/>
  <c r="S687" i="19"/>
  <c r="T687" i="19"/>
  <c r="U687" i="19"/>
  <c r="V687" i="19"/>
  <c r="W687" i="19"/>
  <c r="B688" i="19"/>
  <c r="A688" i="19"/>
  <c r="C688" i="19"/>
  <c r="D688" i="19"/>
  <c r="E688" i="19"/>
  <c r="F688" i="19"/>
  <c r="G688" i="19"/>
  <c r="H688" i="19"/>
  <c r="I688" i="19"/>
  <c r="J688" i="19"/>
  <c r="K688" i="19"/>
  <c r="L688" i="19"/>
  <c r="N688" i="19"/>
  <c r="O688" i="19"/>
  <c r="P688" i="19"/>
  <c r="Q688" i="19"/>
  <c r="R688" i="19"/>
  <c r="S688" i="19"/>
  <c r="T688" i="19"/>
  <c r="U688" i="19"/>
  <c r="V688" i="19"/>
  <c r="W688" i="19"/>
  <c r="B689" i="19"/>
  <c r="A689" i="19"/>
  <c r="C689" i="19"/>
  <c r="D689" i="19"/>
  <c r="E689" i="19"/>
  <c r="F689" i="19"/>
  <c r="G689" i="19"/>
  <c r="H689" i="19"/>
  <c r="I689" i="19"/>
  <c r="J689" i="19"/>
  <c r="K689" i="19"/>
  <c r="L689" i="19"/>
  <c r="N689" i="19"/>
  <c r="O689" i="19"/>
  <c r="P689" i="19"/>
  <c r="Q689" i="19"/>
  <c r="R689" i="19"/>
  <c r="S689" i="19"/>
  <c r="T689" i="19"/>
  <c r="U689" i="19"/>
  <c r="V689" i="19"/>
  <c r="W689" i="19"/>
  <c r="B690" i="19"/>
  <c r="A690" i="19"/>
  <c r="C690" i="19"/>
  <c r="D690" i="19"/>
  <c r="E690" i="19"/>
  <c r="F690" i="19"/>
  <c r="G690" i="19"/>
  <c r="H690" i="19"/>
  <c r="I690" i="19"/>
  <c r="J690" i="19"/>
  <c r="K690" i="19"/>
  <c r="L690" i="19"/>
  <c r="N690" i="19"/>
  <c r="O690" i="19"/>
  <c r="P690" i="19"/>
  <c r="Q690" i="19"/>
  <c r="R690" i="19"/>
  <c r="S690" i="19"/>
  <c r="T690" i="19"/>
  <c r="U690" i="19"/>
  <c r="V690" i="19"/>
  <c r="W690" i="19"/>
  <c r="B691" i="19"/>
  <c r="A691" i="19"/>
  <c r="C691" i="19"/>
  <c r="D691" i="19"/>
  <c r="E691" i="19"/>
  <c r="F691" i="19"/>
  <c r="G691" i="19"/>
  <c r="H691" i="19"/>
  <c r="I691" i="19"/>
  <c r="J691" i="19"/>
  <c r="K691" i="19"/>
  <c r="L691" i="19"/>
  <c r="N691" i="19"/>
  <c r="O691" i="19"/>
  <c r="P691" i="19"/>
  <c r="Q691" i="19"/>
  <c r="R691" i="19"/>
  <c r="S691" i="19"/>
  <c r="T691" i="19"/>
  <c r="U691" i="19"/>
  <c r="V691" i="19"/>
  <c r="W691" i="19"/>
  <c r="B692" i="19"/>
  <c r="A692" i="19"/>
  <c r="C692" i="19"/>
  <c r="D692" i="19"/>
  <c r="E692" i="19"/>
  <c r="F692" i="19"/>
  <c r="G692" i="19"/>
  <c r="H692" i="19"/>
  <c r="I692" i="19"/>
  <c r="J692" i="19"/>
  <c r="K692" i="19"/>
  <c r="L692" i="19"/>
  <c r="N692" i="19"/>
  <c r="O692" i="19"/>
  <c r="P692" i="19"/>
  <c r="Q692" i="19"/>
  <c r="R692" i="19"/>
  <c r="S692" i="19"/>
  <c r="T692" i="19"/>
  <c r="U692" i="19"/>
  <c r="V692" i="19"/>
  <c r="W692" i="19"/>
  <c r="B693" i="19"/>
  <c r="C693" i="19"/>
  <c r="D693" i="19"/>
  <c r="E693" i="19"/>
  <c r="F693" i="19"/>
  <c r="G693" i="19"/>
  <c r="H693" i="19"/>
  <c r="I693" i="19"/>
  <c r="J693" i="19"/>
  <c r="K693" i="19"/>
  <c r="L693" i="19"/>
  <c r="N693" i="19"/>
  <c r="O693" i="19"/>
  <c r="P693" i="19"/>
  <c r="Q693" i="19"/>
  <c r="R693" i="19"/>
  <c r="S693" i="19"/>
  <c r="T693" i="19"/>
  <c r="U693" i="19"/>
  <c r="V693" i="19"/>
  <c r="W693" i="19"/>
  <c r="C694" i="19"/>
  <c r="D694" i="19"/>
  <c r="E694" i="19"/>
  <c r="F694" i="19"/>
  <c r="G694" i="19"/>
  <c r="H694" i="19"/>
  <c r="I694" i="19"/>
  <c r="J694" i="19"/>
  <c r="K694" i="19"/>
  <c r="L694" i="19"/>
  <c r="B696" i="19"/>
  <c r="D696" i="19"/>
  <c r="E696" i="19"/>
  <c r="F696" i="19"/>
  <c r="G696" i="19"/>
  <c r="H696" i="19"/>
  <c r="I696" i="19"/>
  <c r="J696" i="19"/>
  <c r="K696" i="19"/>
  <c r="L696" i="19"/>
  <c r="N696" i="19"/>
  <c r="O696" i="19"/>
  <c r="P696" i="19"/>
  <c r="Q696" i="19"/>
  <c r="R696" i="19"/>
  <c r="S696" i="19"/>
  <c r="T696" i="19"/>
  <c r="U696" i="19"/>
  <c r="V696" i="19"/>
  <c r="W696" i="19"/>
  <c r="C697" i="19"/>
  <c r="D697" i="19"/>
  <c r="E697" i="19"/>
  <c r="F697" i="19"/>
  <c r="G697" i="19"/>
  <c r="H697" i="19"/>
  <c r="I697" i="19"/>
  <c r="J697" i="19"/>
  <c r="K697" i="19"/>
  <c r="L697" i="19"/>
  <c r="B700" i="19"/>
  <c r="A700" i="19"/>
  <c r="C700" i="19"/>
  <c r="D700" i="19"/>
  <c r="E700" i="19"/>
  <c r="F700" i="19"/>
  <c r="G700" i="19"/>
  <c r="H700" i="19"/>
  <c r="I700" i="19"/>
  <c r="J700" i="19"/>
  <c r="K700" i="19"/>
  <c r="L700" i="19"/>
  <c r="N700" i="19"/>
  <c r="O700" i="19"/>
  <c r="P700" i="19"/>
  <c r="Q700" i="19"/>
  <c r="R700" i="19"/>
  <c r="S700" i="19"/>
  <c r="T700" i="19"/>
  <c r="U700" i="19"/>
  <c r="V700" i="19"/>
  <c r="W700" i="19"/>
  <c r="B701" i="19"/>
  <c r="A701" i="19"/>
  <c r="C701" i="19"/>
  <c r="D701" i="19"/>
  <c r="E701" i="19"/>
  <c r="F701" i="19"/>
  <c r="G701" i="19"/>
  <c r="H701" i="19"/>
  <c r="I701" i="19"/>
  <c r="J701" i="19"/>
  <c r="K701" i="19"/>
  <c r="L701" i="19"/>
  <c r="N701" i="19"/>
  <c r="O701" i="19"/>
  <c r="P701" i="19"/>
  <c r="Q701" i="19"/>
  <c r="R701" i="19"/>
  <c r="S701" i="19"/>
  <c r="T701" i="19"/>
  <c r="U701" i="19"/>
  <c r="V701" i="19"/>
  <c r="W701" i="19"/>
  <c r="B702" i="19"/>
  <c r="A702" i="19"/>
  <c r="C702" i="19"/>
  <c r="D702" i="19"/>
  <c r="E702" i="19"/>
  <c r="F702" i="19"/>
  <c r="G702" i="19"/>
  <c r="H702" i="19"/>
  <c r="I702" i="19"/>
  <c r="J702" i="19"/>
  <c r="K702" i="19"/>
  <c r="L702" i="19"/>
  <c r="N702" i="19"/>
  <c r="O702" i="19"/>
  <c r="P702" i="19"/>
  <c r="Q702" i="19"/>
  <c r="R702" i="19"/>
  <c r="S702" i="19"/>
  <c r="T702" i="19"/>
  <c r="U702" i="19"/>
  <c r="V702" i="19"/>
  <c r="W702" i="19"/>
  <c r="B703" i="19"/>
  <c r="A703" i="19"/>
  <c r="C703" i="19"/>
  <c r="D703" i="19"/>
  <c r="E703" i="19"/>
  <c r="F703" i="19"/>
  <c r="G703" i="19"/>
  <c r="H703" i="19"/>
  <c r="I703" i="19"/>
  <c r="J703" i="19"/>
  <c r="K703" i="19"/>
  <c r="L703" i="19"/>
  <c r="N703" i="19"/>
  <c r="O703" i="19"/>
  <c r="P703" i="19"/>
  <c r="Q703" i="19"/>
  <c r="R703" i="19"/>
  <c r="S703" i="19"/>
  <c r="T703" i="19"/>
  <c r="U703" i="19"/>
  <c r="V703" i="19"/>
  <c r="W703" i="19"/>
  <c r="B704" i="19"/>
  <c r="A704" i="19"/>
  <c r="C704" i="19"/>
  <c r="D704" i="19"/>
  <c r="E704" i="19"/>
  <c r="F704" i="19"/>
  <c r="G704" i="19"/>
  <c r="H704" i="19"/>
  <c r="I704" i="19"/>
  <c r="J704" i="19"/>
  <c r="K704" i="19"/>
  <c r="L704" i="19"/>
  <c r="N704" i="19"/>
  <c r="O704" i="19"/>
  <c r="P704" i="19"/>
  <c r="Q704" i="19"/>
  <c r="R704" i="19"/>
  <c r="S704" i="19"/>
  <c r="T704" i="19"/>
  <c r="U704" i="19"/>
  <c r="V704" i="19"/>
  <c r="W704" i="19"/>
  <c r="B705" i="19"/>
  <c r="A705" i="19"/>
  <c r="C705" i="19"/>
  <c r="D705" i="19"/>
  <c r="E705" i="19"/>
  <c r="F705" i="19"/>
  <c r="G705" i="19"/>
  <c r="H705" i="19"/>
  <c r="I705" i="19"/>
  <c r="J705" i="19"/>
  <c r="K705" i="19"/>
  <c r="L705" i="19"/>
  <c r="N705" i="19"/>
  <c r="O705" i="19"/>
  <c r="P705" i="19"/>
  <c r="Q705" i="19"/>
  <c r="R705" i="19"/>
  <c r="S705" i="19"/>
  <c r="T705" i="19"/>
  <c r="U705" i="19"/>
  <c r="V705" i="19"/>
  <c r="W705" i="19"/>
  <c r="B706" i="19"/>
  <c r="A706" i="19"/>
  <c r="C706" i="19"/>
  <c r="D706" i="19"/>
  <c r="E706" i="19"/>
  <c r="F706" i="19"/>
  <c r="G706" i="19"/>
  <c r="H706" i="19"/>
  <c r="I706" i="19"/>
  <c r="J706" i="19"/>
  <c r="K706" i="19"/>
  <c r="L706" i="19"/>
  <c r="N706" i="19"/>
  <c r="O706" i="19"/>
  <c r="P706" i="19"/>
  <c r="Q706" i="19"/>
  <c r="R706" i="19"/>
  <c r="S706" i="19"/>
  <c r="T706" i="19"/>
  <c r="U706" i="19"/>
  <c r="V706" i="19"/>
  <c r="W706" i="19"/>
  <c r="B707" i="19"/>
  <c r="A707" i="19"/>
  <c r="C707" i="19"/>
  <c r="D707" i="19"/>
  <c r="E707" i="19"/>
  <c r="F707" i="19"/>
  <c r="G707" i="19"/>
  <c r="H707" i="19"/>
  <c r="I707" i="19"/>
  <c r="J707" i="19"/>
  <c r="K707" i="19"/>
  <c r="L707" i="19"/>
  <c r="N707" i="19"/>
  <c r="O707" i="19"/>
  <c r="P707" i="19"/>
  <c r="Q707" i="19"/>
  <c r="R707" i="19"/>
  <c r="S707" i="19"/>
  <c r="T707" i="19"/>
  <c r="U707" i="19"/>
  <c r="V707" i="19"/>
  <c r="W707" i="19"/>
  <c r="B708" i="19"/>
  <c r="A708" i="19"/>
  <c r="C708" i="19"/>
  <c r="D708" i="19"/>
  <c r="E708" i="19"/>
  <c r="F708" i="19"/>
  <c r="G708" i="19"/>
  <c r="H708" i="19"/>
  <c r="I708" i="19"/>
  <c r="J708" i="19"/>
  <c r="K708" i="19"/>
  <c r="L708" i="19"/>
  <c r="N708" i="19"/>
  <c r="O708" i="19"/>
  <c r="P708" i="19"/>
  <c r="Q708" i="19"/>
  <c r="R708" i="19"/>
  <c r="S708" i="19"/>
  <c r="T708" i="19"/>
  <c r="U708" i="19"/>
  <c r="V708" i="19"/>
  <c r="W708" i="19"/>
  <c r="B709" i="19"/>
  <c r="C709" i="19"/>
  <c r="D709" i="19"/>
  <c r="E709" i="19"/>
  <c r="F709" i="19"/>
  <c r="G709" i="19"/>
  <c r="H709" i="19"/>
  <c r="I709" i="19"/>
  <c r="J709" i="19"/>
  <c r="K709" i="19"/>
  <c r="L709" i="19"/>
  <c r="N709" i="19"/>
  <c r="O709" i="19"/>
  <c r="P709" i="19"/>
  <c r="Q709" i="19"/>
  <c r="R709" i="19"/>
  <c r="S709" i="19"/>
  <c r="T709" i="19"/>
  <c r="U709" i="19"/>
  <c r="V709" i="19"/>
  <c r="W709" i="19"/>
  <c r="C710" i="19"/>
  <c r="D710" i="19"/>
  <c r="E710" i="19"/>
  <c r="F710" i="19"/>
  <c r="G710" i="19"/>
  <c r="H710" i="19"/>
  <c r="I710" i="19"/>
  <c r="J710" i="19"/>
  <c r="K710" i="19"/>
  <c r="L710" i="19"/>
  <c r="B712" i="19"/>
  <c r="D712" i="19"/>
  <c r="E712" i="19"/>
  <c r="F712" i="19"/>
  <c r="G712" i="19"/>
  <c r="H712" i="19"/>
  <c r="I712" i="19"/>
  <c r="J712" i="19"/>
  <c r="K712" i="19"/>
  <c r="L712" i="19"/>
  <c r="N712" i="19"/>
  <c r="O712" i="19"/>
  <c r="P712" i="19"/>
  <c r="Q712" i="19"/>
  <c r="R712" i="19"/>
  <c r="S712" i="19"/>
  <c r="T712" i="19"/>
  <c r="U712" i="19"/>
  <c r="V712" i="19"/>
  <c r="W712" i="19"/>
  <c r="C713" i="19"/>
  <c r="D713" i="19"/>
  <c r="E713" i="19"/>
  <c r="F713" i="19"/>
  <c r="G713" i="19"/>
  <c r="H713" i="19"/>
  <c r="I713" i="19"/>
  <c r="J713" i="19"/>
  <c r="K713" i="19"/>
  <c r="L713" i="19"/>
  <c r="B716" i="19"/>
  <c r="A716" i="19"/>
  <c r="C716" i="19"/>
  <c r="D716" i="19"/>
  <c r="E716" i="19"/>
  <c r="F716" i="19"/>
  <c r="G716" i="19"/>
  <c r="H716" i="19"/>
  <c r="I716" i="19"/>
  <c r="J716" i="19"/>
  <c r="K716" i="19"/>
  <c r="L716" i="19"/>
  <c r="N716" i="19"/>
  <c r="O716" i="19"/>
  <c r="P716" i="19"/>
  <c r="Q716" i="19"/>
  <c r="R716" i="19"/>
  <c r="S716" i="19"/>
  <c r="T716" i="19"/>
  <c r="U716" i="19"/>
  <c r="V716" i="19"/>
  <c r="W716" i="19"/>
  <c r="B717" i="19"/>
  <c r="A717" i="19"/>
  <c r="C717" i="19"/>
  <c r="D717" i="19"/>
  <c r="E717" i="19"/>
  <c r="F717" i="19"/>
  <c r="G717" i="19"/>
  <c r="H717" i="19"/>
  <c r="I717" i="19"/>
  <c r="J717" i="19"/>
  <c r="K717" i="19"/>
  <c r="L717" i="19"/>
  <c r="N717" i="19"/>
  <c r="O717" i="19"/>
  <c r="P717" i="19"/>
  <c r="Q717" i="19"/>
  <c r="R717" i="19"/>
  <c r="S717" i="19"/>
  <c r="T717" i="19"/>
  <c r="U717" i="19"/>
  <c r="V717" i="19"/>
  <c r="W717" i="19"/>
  <c r="B718" i="19"/>
  <c r="A718" i="19"/>
  <c r="C718" i="19"/>
  <c r="D718" i="19"/>
  <c r="E718" i="19"/>
  <c r="F718" i="19"/>
  <c r="G718" i="19"/>
  <c r="H718" i="19"/>
  <c r="I718" i="19"/>
  <c r="J718" i="19"/>
  <c r="K718" i="19"/>
  <c r="L718" i="19"/>
  <c r="N718" i="19"/>
  <c r="O718" i="19"/>
  <c r="P718" i="19"/>
  <c r="Q718" i="19"/>
  <c r="R718" i="19"/>
  <c r="S718" i="19"/>
  <c r="T718" i="19"/>
  <c r="U718" i="19"/>
  <c r="V718" i="19"/>
  <c r="W718" i="19"/>
  <c r="B719" i="19"/>
  <c r="A719" i="19"/>
  <c r="C719" i="19"/>
  <c r="D719" i="19"/>
  <c r="E719" i="19"/>
  <c r="F719" i="19"/>
  <c r="G719" i="19"/>
  <c r="H719" i="19"/>
  <c r="I719" i="19"/>
  <c r="J719" i="19"/>
  <c r="K719" i="19"/>
  <c r="L719" i="19"/>
  <c r="N719" i="19"/>
  <c r="O719" i="19"/>
  <c r="P719" i="19"/>
  <c r="Q719" i="19"/>
  <c r="R719" i="19"/>
  <c r="S719" i="19"/>
  <c r="T719" i="19"/>
  <c r="U719" i="19"/>
  <c r="V719" i="19"/>
  <c r="W719" i="19"/>
  <c r="B720" i="19"/>
  <c r="A720" i="19"/>
  <c r="C720" i="19"/>
  <c r="D720" i="19"/>
  <c r="E720" i="19"/>
  <c r="F720" i="19"/>
  <c r="G720" i="19"/>
  <c r="H720" i="19"/>
  <c r="I720" i="19"/>
  <c r="J720" i="19"/>
  <c r="K720" i="19"/>
  <c r="L720" i="19"/>
  <c r="N720" i="19"/>
  <c r="O720" i="19"/>
  <c r="P720" i="19"/>
  <c r="Q720" i="19"/>
  <c r="R720" i="19"/>
  <c r="S720" i="19"/>
  <c r="T720" i="19"/>
  <c r="U720" i="19"/>
  <c r="V720" i="19"/>
  <c r="W720" i="19"/>
  <c r="B721" i="19"/>
  <c r="A721" i="19"/>
  <c r="C721" i="19"/>
  <c r="D721" i="19"/>
  <c r="E721" i="19"/>
  <c r="F721" i="19"/>
  <c r="G721" i="19"/>
  <c r="H721" i="19"/>
  <c r="I721" i="19"/>
  <c r="J721" i="19"/>
  <c r="K721" i="19"/>
  <c r="L721" i="19"/>
  <c r="N721" i="19"/>
  <c r="O721" i="19"/>
  <c r="P721" i="19"/>
  <c r="Q721" i="19"/>
  <c r="R721" i="19"/>
  <c r="S721" i="19"/>
  <c r="T721" i="19"/>
  <c r="U721" i="19"/>
  <c r="V721" i="19"/>
  <c r="W721" i="19"/>
  <c r="B722" i="19"/>
  <c r="A722" i="19"/>
  <c r="C722" i="19"/>
  <c r="D722" i="19"/>
  <c r="E722" i="19"/>
  <c r="F722" i="19"/>
  <c r="G722" i="19"/>
  <c r="H722" i="19"/>
  <c r="I722" i="19"/>
  <c r="J722" i="19"/>
  <c r="K722" i="19"/>
  <c r="L722" i="19"/>
  <c r="N722" i="19"/>
  <c r="O722" i="19"/>
  <c r="P722" i="19"/>
  <c r="Q722" i="19"/>
  <c r="R722" i="19"/>
  <c r="S722" i="19"/>
  <c r="T722" i="19"/>
  <c r="U722" i="19"/>
  <c r="V722" i="19"/>
  <c r="W722" i="19"/>
  <c r="B723" i="19"/>
  <c r="A723" i="19"/>
  <c r="C723" i="19"/>
  <c r="D723" i="19"/>
  <c r="E723" i="19"/>
  <c r="F723" i="19"/>
  <c r="G723" i="19"/>
  <c r="H723" i="19"/>
  <c r="I723" i="19"/>
  <c r="J723" i="19"/>
  <c r="K723" i="19"/>
  <c r="L723" i="19"/>
  <c r="N723" i="19"/>
  <c r="O723" i="19"/>
  <c r="P723" i="19"/>
  <c r="Q723" i="19"/>
  <c r="R723" i="19"/>
  <c r="S723" i="19"/>
  <c r="T723" i="19"/>
  <c r="U723" i="19"/>
  <c r="V723" i="19"/>
  <c r="W723" i="19"/>
  <c r="B724" i="19"/>
  <c r="A724" i="19"/>
  <c r="C724" i="19"/>
  <c r="D724" i="19"/>
  <c r="E724" i="19"/>
  <c r="F724" i="19"/>
  <c r="G724" i="19"/>
  <c r="H724" i="19"/>
  <c r="I724" i="19"/>
  <c r="J724" i="19"/>
  <c r="K724" i="19"/>
  <c r="L724" i="19"/>
  <c r="N724" i="19"/>
  <c r="O724" i="19"/>
  <c r="P724" i="19"/>
  <c r="Q724" i="19"/>
  <c r="R724" i="19"/>
  <c r="S724" i="19"/>
  <c r="T724" i="19"/>
  <c r="U724" i="19"/>
  <c r="V724" i="19"/>
  <c r="W724" i="19"/>
  <c r="B725" i="19"/>
  <c r="C725" i="19"/>
  <c r="D725" i="19"/>
  <c r="E725" i="19"/>
  <c r="F725" i="19"/>
  <c r="G725" i="19"/>
  <c r="H725" i="19"/>
  <c r="I725" i="19"/>
  <c r="J725" i="19"/>
  <c r="K725" i="19"/>
  <c r="L725" i="19"/>
  <c r="N725" i="19"/>
  <c r="O725" i="19"/>
  <c r="P725" i="19"/>
  <c r="Q725" i="19"/>
  <c r="R725" i="19"/>
  <c r="S725" i="19"/>
  <c r="T725" i="19"/>
  <c r="U725" i="19"/>
  <c r="V725" i="19"/>
  <c r="W725" i="19"/>
  <c r="C726" i="19"/>
  <c r="D726" i="19"/>
  <c r="E726" i="19"/>
  <c r="F726" i="19"/>
  <c r="G726" i="19"/>
  <c r="H726" i="19"/>
  <c r="I726" i="19"/>
  <c r="J726" i="19"/>
  <c r="K726" i="19"/>
  <c r="L726" i="19"/>
  <c r="B728" i="19"/>
  <c r="D728" i="19"/>
  <c r="E728" i="19"/>
  <c r="F728" i="19"/>
  <c r="G728" i="19"/>
  <c r="H728" i="19"/>
  <c r="I728" i="19"/>
  <c r="J728" i="19"/>
  <c r="K728" i="19"/>
  <c r="L728" i="19"/>
  <c r="N728" i="19"/>
  <c r="O728" i="19"/>
  <c r="P728" i="19"/>
  <c r="Q728" i="19"/>
  <c r="R728" i="19"/>
  <c r="S728" i="19"/>
  <c r="T728" i="19"/>
  <c r="U728" i="19"/>
  <c r="V728" i="19"/>
  <c r="W728" i="19"/>
  <c r="C729" i="19"/>
  <c r="D729" i="19"/>
  <c r="E729" i="19"/>
  <c r="F729" i="19"/>
  <c r="G729" i="19"/>
  <c r="H729" i="19"/>
  <c r="I729" i="19"/>
  <c r="J729" i="19"/>
  <c r="K729" i="19"/>
  <c r="L729" i="19"/>
  <c r="B732" i="19"/>
  <c r="A732" i="19"/>
  <c r="C732" i="19"/>
  <c r="D732" i="19"/>
  <c r="E732" i="19"/>
  <c r="F732" i="19"/>
  <c r="G732" i="19"/>
  <c r="H732" i="19"/>
  <c r="I732" i="19"/>
  <c r="J732" i="19"/>
  <c r="K732" i="19"/>
  <c r="L732" i="19"/>
  <c r="N732" i="19"/>
  <c r="O732" i="19"/>
  <c r="P732" i="19"/>
  <c r="Q732" i="19"/>
  <c r="R732" i="19"/>
  <c r="S732" i="19"/>
  <c r="T732" i="19"/>
  <c r="U732" i="19"/>
  <c r="V732" i="19"/>
  <c r="W732" i="19"/>
  <c r="B733" i="19"/>
  <c r="A733" i="19"/>
  <c r="C733" i="19"/>
  <c r="D733" i="19"/>
  <c r="E733" i="19"/>
  <c r="F733" i="19"/>
  <c r="G733" i="19"/>
  <c r="H733" i="19"/>
  <c r="I733" i="19"/>
  <c r="J733" i="19"/>
  <c r="K733" i="19"/>
  <c r="L733" i="19"/>
  <c r="N733" i="19"/>
  <c r="O733" i="19"/>
  <c r="P733" i="19"/>
  <c r="Q733" i="19"/>
  <c r="R733" i="19"/>
  <c r="S733" i="19"/>
  <c r="T733" i="19"/>
  <c r="U733" i="19"/>
  <c r="V733" i="19"/>
  <c r="W733" i="19"/>
  <c r="B734" i="19"/>
  <c r="A734" i="19"/>
  <c r="C734" i="19"/>
  <c r="D734" i="19"/>
  <c r="E734" i="19"/>
  <c r="F734" i="19"/>
  <c r="G734" i="19"/>
  <c r="H734" i="19"/>
  <c r="I734" i="19"/>
  <c r="J734" i="19"/>
  <c r="K734" i="19"/>
  <c r="L734" i="19"/>
  <c r="N734" i="19"/>
  <c r="O734" i="19"/>
  <c r="P734" i="19"/>
  <c r="Q734" i="19"/>
  <c r="R734" i="19"/>
  <c r="S734" i="19"/>
  <c r="T734" i="19"/>
  <c r="U734" i="19"/>
  <c r="V734" i="19"/>
  <c r="W734" i="19"/>
  <c r="B735" i="19"/>
  <c r="A735" i="19"/>
  <c r="C735" i="19"/>
  <c r="D735" i="19"/>
  <c r="E735" i="19"/>
  <c r="F735" i="19"/>
  <c r="G735" i="19"/>
  <c r="H735" i="19"/>
  <c r="I735" i="19"/>
  <c r="J735" i="19"/>
  <c r="K735" i="19"/>
  <c r="L735" i="19"/>
  <c r="N735" i="19"/>
  <c r="O735" i="19"/>
  <c r="P735" i="19"/>
  <c r="Q735" i="19"/>
  <c r="R735" i="19"/>
  <c r="S735" i="19"/>
  <c r="T735" i="19"/>
  <c r="U735" i="19"/>
  <c r="V735" i="19"/>
  <c r="W735" i="19"/>
  <c r="B736" i="19"/>
  <c r="A736" i="19"/>
  <c r="C736" i="19"/>
  <c r="D736" i="19"/>
  <c r="E736" i="19"/>
  <c r="F736" i="19"/>
  <c r="G736" i="19"/>
  <c r="H736" i="19"/>
  <c r="I736" i="19"/>
  <c r="J736" i="19"/>
  <c r="K736" i="19"/>
  <c r="L736" i="19"/>
  <c r="N736" i="19"/>
  <c r="O736" i="19"/>
  <c r="P736" i="19"/>
  <c r="Q736" i="19"/>
  <c r="R736" i="19"/>
  <c r="S736" i="19"/>
  <c r="T736" i="19"/>
  <c r="U736" i="19"/>
  <c r="V736" i="19"/>
  <c r="W736" i="19"/>
  <c r="B737" i="19"/>
  <c r="A737" i="19"/>
  <c r="C737" i="19"/>
  <c r="D737" i="19"/>
  <c r="E737" i="19"/>
  <c r="F737" i="19"/>
  <c r="G737" i="19"/>
  <c r="H737" i="19"/>
  <c r="I737" i="19"/>
  <c r="J737" i="19"/>
  <c r="K737" i="19"/>
  <c r="L737" i="19"/>
  <c r="N737" i="19"/>
  <c r="O737" i="19"/>
  <c r="P737" i="19"/>
  <c r="Q737" i="19"/>
  <c r="R737" i="19"/>
  <c r="S737" i="19"/>
  <c r="T737" i="19"/>
  <c r="U737" i="19"/>
  <c r="V737" i="19"/>
  <c r="W737" i="19"/>
  <c r="B738" i="19"/>
  <c r="A738" i="19"/>
  <c r="C738" i="19"/>
  <c r="D738" i="19"/>
  <c r="E738" i="19"/>
  <c r="F738" i="19"/>
  <c r="G738" i="19"/>
  <c r="H738" i="19"/>
  <c r="I738" i="19"/>
  <c r="J738" i="19"/>
  <c r="K738" i="19"/>
  <c r="L738" i="19"/>
  <c r="N738" i="19"/>
  <c r="O738" i="19"/>
  <c r="P738" i="19"/>
  <c r="Q738" i="19"/>
  <c r="R738" i="19"/>
  <c r="S738" i="19"/>
  <c r="T738" i="19"/>
  <c r="U738" i="19"/>
  <c r="V738" i="19"/>
  <c r="W738" i="19"/>
  <c r="B739" i="19"/>
  <c r="A739" i="19"/>
  <c r="C739" i="19"/>
  <c r="D739" i="19"/>
  <c r="E739" i="19"/>
  <c r="F739" i="19"/>
  <c r="G739" i="19"/>
  <c r="H739" i="19"/>
  <c r="I739" i="19"/>
  <c r="J739" i="19"/>
  <c r="K739" i="19"/>
  <c r="L739" i="19"/>
  <c r="N739" i="19"/>
  <c r="O739" i="19"/>
  <c r="P739" i="19"/>
  <c r="Q739" i="19"/>
  <c r="R739" i="19"/>
  <c r="S739" i="19"/>
  <c r="T739" i="19"/>
  <c r="U739" i="19"/>
  <c r="V739" i="19"/>
  <c r="W739" i="19"/>
  <c r="B740" i="19"/>
  <c r="A740" i="19"/>
  <c r="C740" i="19"/>
  <c r="D740" i="19"/>
  <c r="E740" i="19"/>
  <c r="F740" i="19"/>
  <c r="G740" i="19"/>
  <c r="H740" i="19"/>
  <c r="I740" i="19"/>
  <c r="J740" i="19"/>
  <c r="K740" i="19"/>
  <c r="L740" i="19"/>
  <c r="N740" i="19"/>
  <c r="O740" i="19"/>
  <c r="P740" i="19"/>
  <c r="Q740" i="19"/>
  <c r="R740" i="19"/>
  <c r="S740" i="19"/>
  <c r="T740" i="19"/>
  <c r="U740" i="19"/>
  <c r="V740" i="19"/>
  <c r="W740" i="19"/>
  <c r="B741" i="19"/>
  <c r="C741" i="19"/>
  <c r="D741" i="19"/>
  <c r="E741" i="19"/>
  <c r="F741" i="19"/>
  <c r="G741" i="19"/>
  <c r="H741" i="19"/>
  <c r="I741" i="19"/>
  <c r="J741" i="19"/>
  <c r="K741" i="19"/>
  <c r="L741" i="19"/>
  <c r="N741" i="19"/>
  <c r="O741" i="19"/>
  <c r="P741" i="19"/>
  <c r="Q741" i="19"/>
  <c r="R741" i="19"/>
  <c r="S741" i="19"/>
  <c r="T741" i="19"/>
  <c r="U741" i="19"/>
  <c r="V741" i="19"/>
  <c r="W741" i="19"/>
  <c r="C742" i="19"/>
  <c r="D742" i="19"/>
  <c r="E742" i="19"/>
  <c r="F742" i="19"/>
  <c r="G742" i="19"/>
  <c r="H742" i="19"/>
  <c r="I742" i="19"/>
  <c r="J742" i="19"/>
  <c r="K742" i="19"/>
  <c r="L742" i="19"/>
  <c r="B744" i="19"/>
  <c r="D744" i="19"/>
  <c r="E744" i="19"/>
  <c r="F744" i="19"/>
  <c r="G744" i="19"/>
  <c r="H744" i="19"/>
  <c r="I744" i="19"/>
  <c r="J744" i="19"/>
  <c r="K744" i="19"/>
  <c r="L744" i="19"/>
  <c r="N744" i="19"/>
  <c r="O744" i="19"/>
  <c r="P744" i="19"/>
  <c r="Q744" i="19"/>
  <c r="R744" i="19"/>
  <c r="S744" i="19"/>
  <c r="T744" i="19"/>
  <c r="U744" i="19"/>
  <c r="V744" i="19"/>
  <c r="W744" i="19"/>
  <c r="C745" i="19"/>
  <c r="D745" i="19"/>
  <c r="E745" i="19"/>
  <c r="F745" i="19"/>
  <c r="G745" i="19"/>
  <c r="H745" i="19"/>
  <c r="I745" i="19"/>
  <c r="J745" i="19"/>
  <c r="K745" i="19"/>
  <c r="L745" i="19"/>
  <c r="B748" i="19"/>
  <c r="A748" i="19"/>
  <c r="C748" i="19"/>
  <c r="D748" i="19"/>
  <c r="E748" i="19"/>
  <c r="F748" i="19"/>
  <c r="G748" i="19"/>
  <c r="H748" i="19"/>
  <c r="I748" i="19"/>
  <c r="J748" i="19"/>
  <c r="K748" i="19"/>
  <c r="L748" i="19"/>
  <c r="N748" i="19"/>
  <c r="O748" i="19"/>
  <c r="P748" i="19"/>
  <c r="Q748" i="19"/>
  <c r="R748" i="19"/>
  <c r="S748" i="19"/>
  <c r="T748" i="19"/>
  <c r="U748" i="19"/>
  <c r="V748" i="19"/>
  <c r="W748" i="19"/>
  <c r="B749" i="19"/>
  <c r="A749" i="19"/>
  <c r="C749" i="19"/>
  <c r="D749" i="19"/>
  <c r="E749" i="19"/>
  <c r="F749" i="19"/>
  <c r="G749" i="19"/>
  <c r="H749" i="19"/>
  <c r="I749" i="19"/>
  <c r="J749" i="19"/>
  <c r="K749" i="19"/>
  <c r="L749" i="19"/>
  <c r="N749" i="19"/>
  <c r="O749" i="19"/>
  <c r="P749" i="19"/>
  <c r="Q749" i="19"/>
  <c r="R749" i="19"/>
  <c r="S749" i="19"/>
  <c r="T749" i="19"/>
  <c r="U749" i="19"/>
  <c r="V749" i="19"/>
  <c r="W749" i="19"/>
  <c r="B750" i="19"/>
  <c r="A750" i="19"/>
  <c r="C750" i="19"/>
  <c r="D750" i="19"/>
  <c r="E750" i="19"/>
  <c r="F750" i="19"/>
  <c r="G750" i="19"/>
  <c r="H750" i="19"/>
  <c r="I750" i="19"/>
  <c r="J750" i="19"/>
  <c r="K750" i="19"/>
  <c r="L750" i="19"/>
  <c r="N750" i="19"/>
  <c r="O750" i="19"/>
  <c r="P750" i="19"/>
  <c r="Q750" i="19"/>
  <c r="R750" i="19"/>
  <c r="S750" i="19"/>
  <c r="T750" i="19"/>
  <c r="U750" i="19"/>
  <c r="V750" i="19"/>
  <c r="W750" i="19"/>
  <c r="B751" i="19"/>
  <c r="A751" i="19"/>
  <c r="C751" i="19"/>
  <c r="D751" i="19"/>
  <c r="E751" i="19"/>
  <c r="F751" i="19"/>
  <c r="G751" i="19"/>
  <c r="H751" i="19"/>
  <c r="I751" i="19"/>
  <c r="J751" i="19"/>
  <c r="K751" i="19"/>
  <c r="L751" i="19"/>
  <c r="N751" i="19"/>
  <c r="O751" i="19"/>
  <c r="P751" i="19"/>
  <c r="Q751" i="19"/>
  <c r="R751" i="19"/>
  <c r="S751" i="19"/>
  <c r="T751" i="19"/>
  <c r="U751" i="19"/>
  <c r="V751" i="19"/>
  <c r="W751" i="19"/>
  <c r="B752" i="19"/>
  <c r="A752" i="19"/>
  <c r="C752" i="19"/>
  <c r="D752" i="19"/>
  <c r="E752" i="19"/>
  <c r="F752" i="19"/>
  <c r="G752" i="19"/>
  <c r="H752" i="19"/>
  <c r="I752" i="19"/>
  <c r="J752" i="19"/>
  <c r="K752" i="19"/>
  <c r="L752" i="19"/>
  <c r="N752" i="19"/>
  <c r="O752" i="19"/>
  <c r="P752" i="19"/>
  <c r="Q752" i="19"/>
  <c r="R752" i="19"/>
  <c r="S752" i="19"/>
  <c r="T752" i="19"/>
  <c r="U752" i="19"/>
  <c r="V752" i="19"/>
  <c r="W752" i="19"/>
  <c r="B753" i="19"/>
  <c r="A753" i="19"/>
  <c r="C753" i="19"/>
  <c r="D753" i="19"/>
  <c r="E753" i="19"/>
  <c r="F753" i="19"/>
  <c r="G753" i="19"/>
  <c r="H753" i="19"/>
  <c r="I753" i="19"/>
  <c r="J753" i="19"/>
  <c r="K753" i="19"/>
  <c r="L753" i="19"/>
  <c r="N753" i="19"/>
  <c r="O753" i="19"/>
  <c r="P753" i="19"/>
  <c r="Q753" i="19"/>
  <c r="R753" i="19"/>
  <c r="S753" i="19"/>
  <c r="T753" i="19"/>
  <c r="U753" i="19"/>
  <c r="V753" i="19"/>
  <c r="W753" i="19"/>
  <c r="B754" i="19"/>
  <c r="A754" i="19"/>
  <c r="C754" i="19"/>
  <c r="D754" i="19"/>
  <c r="E754" i="19"/>
  <c r="F754" i="19"/>
  <c r="G754" i="19"/>
  <c r="H754" i="19"/>
  <c r="I754" i="19"/>
  <c r="J754" i="19"/>
  <c r="K754" i="19"/>
  <c r="L754" i="19"/>
  <c r="N754" i="19"/>
  <c r="O754" i="19"/>
  <c r="P754" i="19"/>
  <c r="Q754" i="19"/>
  <c r="R754" i="19"/>
  <c r="S754" i="19"/>
  <c r="T754" i="19"/>
  <c r="U754" i="19"/>
  <c r="V754" i="19"/>
  <c r="W754" i="19"/>
  <c r="B755" i="19"/>
  <c r="A755" i="19"/>
  <c r="C755" i="19"/>
  <c r="D755" i="19"/>
  <c r="E755" i="19"/>
  <c r="F755" i="19"/>
  <c r="G755" i="19"/>
  <c r="H755" i="19"/>
  <c r="I755" i="19"/>
  <c r="J755" i="19"/>
  <c r="K755" i="19"/>
  <c r="L755" i="19"/>
  <c r="N755" i="19"/>
  <c r="O755" i="19"/>
  <c r="P755" i="19"/>
  <c r="Q755" i="19"/>
  <c r="R755" i="19"/>
  <c r="S755" i="19"/>
  <c r="T755" i="19"/>
  <c r="U755" i="19"/>
  <c r="V755" i="19"/>
  <c r="W755" i="19"/>
  <c r="B756" i="19"/>
  <c r="A756" i="19"/>
  <c r="C756" i="19"/>
  <c r="D756" i="19"/>
  <c r="E756" i="19"/>
  <c r="F756" i="19"/>
  <c r="G756" i="19"/>
  <c r="H756" i="19"/>
  <c r="I756" i="19"/>
  <c r="J756" i="19"/>
  <c r="K756" i="19"/>
  <c r="L756" i="19"/>
  <c r="N756" i="19"/>
  <c r="O756" i="19"/>
  <c r="P756" i="19"/>
  <c r="Q756" i="19"/>
  <c r="R756" i="19"/>
  <c r="S756" i="19"/>
  <c r="T756" i="19"/>
  <c r="U756" i="19"/>
  <c r="V756" i="19"/>
  <c r="W756" i="19"/>
  <c r="B757" i="19"/>
  <c r="C757" i="19"/>
  <c r="D757" i="19"/>
  <c r="E757" i="19"/>
  <c r="F757" i="19"/>
  <c r="G757" i="19"/>
  <c r="H757" i="19"/>
  <c r="I757" i="19"/>
  <c r="J757" i="19"/>
  <c r="K757" i="19"/>
  <c r="L757" i="19"/>
  <c r="N757" i="19"/>
  <c r="O757" i="19"/>
  <c r="P757" i="19"/>
  <c r="Q757" i="19"/>
  <c r="R757" i="19"/>
  <c r="S757" i="19"/>
  <c r="T757" i="19"/>
  <c r="U757" i="19"/>
  <c r="V757" i="19"/>
  <c r="W757" i="19"/>
  <c r="C758" i="19"/>
  <c r="D758" i="19"/>
  <c r="E758" i="19"/>
  <c r="F758" i="19"/>
  <c r="G758" i="19"/>
  <c r="H758" i="19"/>
  <c r="I758" i="19"/>
  <c r="J758" i="19"/>
  <c r="K758" i="19"/>
  <c r="L758"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C136" i="19"/>
  <c r="D136" i="19"/>
  <c r="D96" i="19"/>
  <c r="C137" i="19"/>
  <c r="D137" i="19"/>
  <c r="D97" i="19"/>
  <c r="D98" i="19"/>
  <c r="X22" i="55"/>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C170" i="21"/>
  <c r="D170" i="21"/>
  <c r="D127" i="21"/>
  <c r="C171" i="21"/>
  <c r="D171" i="21"/>
  <c r="D128" i="21"/>
  <c r="D129" i="21"/>
  <c r="Z22" i="55"/>
  <c r="AM22" i="55"/>
  <c r="D35" i="103"/>
  <c r="E35" i="103"/>
  <c r="AO22" i="55"/>
  <c r="AR22" i="55"/>
  <c r="AS22" i="55"/>
  <c r="AT22" i="55"/>
  <c r="AU22" i="55"/>
  <c r="AP22" i="55"/>
  <c r="AV22" i="55"/>
  <c r="E60" i="73"/>
  <c r="B32" i="107"/>
  <c r="H1" i="107"/>
  <c r="I1" i="107"/>
  <c r="J1" i="107"/>
  <c r="K1" i="107"/>
  <c r="L1" i="107"/>
  <c r="M1" i="107"/>
  <c r="N1" i="107"/>
  <c r="O1" i="107"/>
  <c r="P1" i="107"/>
  <c r="H2" i="107"/>
  <c r="I2" i="107"/>
  <c r="J2" i="107"/>
  <c r="K2" i="107"/>
  <c r="L2" i="107"/>
  <c r="M2" i="107"/>
  <c r="N2" i="107"/>
  <c r="O2" i="107"/>
  <c r="P2" i="107"/>
  <c r="Q2" i="107"/>
  <c r="R2" i="107"/>
  <c r="S2" i="107"/>
  <c r="T2" i="107"/>
  <c r="U2" i="107"/>
  <c r="V2" i="107"/>
  <c r="W2" i="107"/>
  <c r="B38" i="103"/>
  <c r="B39" i="103"/>
  <c r="B40" i="103"/>
  <c r="B41" i="103"/>
  <c r="B42" i="103"/>
  <c r="D42" i="103"/>
  <c r="E42" i="103"/>
  <c r="AO29" i="55"/>
  <c r="W42" i="107"/>
  <c r="Q1" i="107"/>
  <c r="R1" i="107"/>
  <c r="S1" i="107"/>
  <c r="T1" i="107"/>
  <c r="U1" i="107"/>
  <c r="V1" i="107"/>
  <c r="D41" i="103"/>
  <c r="E41" i="103"/>
  <c r="AO28" i="55"/>
  <c r="V42" i="107"/>
  <c r="D40" i="103"/>
  <c r="E40" i="103"/>
  <c r="AO27" i="55"/>
  <c r="U42" i="107"/>
  <c r="D39" i="103"/>
  <c r="E39" i="103"/>
  <c r="AO26" i="55"/>
  <c r="T42" i="107"/>
  <c r="D38" i="103"/>
  <c r="E38" i="103"/>
  <c r="AO25" i="55"/>
  <c r="S42" i="107"/>
  <c r="D37" i="103"/>
  <c r="E37" i="103"/>
  <c r="AO24" i="55"/>
  <c r="R42" i="107"/>
  <c r="D36" i="103"/>
  <c r="E36" i="103"/>
  <c r="AO23" i="55"/>
  <c r="Q42" i="107"/>
  <c r="P42" i="107"/>
  <c r="D34" i="103"/>
  <c r="E34" i="103"/>
  <c r="AO21" i="55"/>
  <c r="O42" i="107"/>
  <c r="D33" i="103"/>
  <c r="E33" i="103"/>
  <c r="AO20" i="55"/>
  <c r="N42" i="107"/>
  <c r="M42" i="107"/>
  <c r="L42" i="107"/>
  <c r="K42" i="107"/>
  <c r="J42" i="107"/>
  <c r="I42" i="107"/>
  <c r="H42" i="107"/>
  <c r="G42" i="107"/>
  <c r="E22" i="2"/>
  <c r="F29" i="55"/>
  <c r="AN29" i="55"/>
  <c r="W41" i="107"/>
  <c r="E21" i="2"/>
  <c r="F28" i="55"/>
  <c r="AN28" i="55"/>
  <c r="V41" i="107"/>
  <c r="E20" i="2"/>
  <c r="F27" i="55"/>
  <c r="AN27" i="55"/>
  <c r="U41" i="107"/>
  <c r="E19" i="2"/>
  <c r="F26" i="55"/>
  <c r="AN26" i="55"/>
  <c r="T41" i="107"/>
  <c r="S41" i="107"/>
  <c r="R41" i="107"/>
  <c r="Q41" i="107"/>
  <c r="P41" i="107"/>
  <c r="O41" i="107"/>
  <c r="N41" i="107"/>
  <c r="M41" i="107"/>
  <c r="L41" i="107"/>
  <c r="K41" i="107"/>
  <c r="J41" i="107"/>
  <c r="I41" i="107"/>
  <c r="H41" i="107"/>
  <c r="G41" i="107"/>
  <c r="AM29" i="55"/>
  <c r="W40" i="107"/>
  <c r="AM28" i="55"/>
  <c r="V40" i="107"/>
  <c r="AM27" i="55"/>
  <c r="U40" i="107"/>
  <c r="AM26" i="55"/>
  <c r="T40" i="107"/>
  <c r="AM25" i="55"/>
  <c r="S40" i="107"/>
  <c r="AM24" i="55"/>
  <c r="R40" i="107"/>
  <c r="AM23" i="55"/>
  <c r="Q40" i="107"/>
  <c r="P40" i="107"/>
  <c r="AM21" i="55"/>
  <c r="O40" i="107"/>
  <c r="AM20" i="55"/>
  <c r="N40" i="107"/>
  <c r="AM19" i="55"/>
  <c r="M40" i="107"/>
  <c r="AM18" i="55"/>
  <c r="L40" i="107"/>
  <c r="AM17" i="55"/>
  <c r="K40" i="107"/>
  <c r="AM16" i="55"/>
  <c r="J40" i="107"/>
  <c r="AM15" i="55"/>
  <c r="I40" i="107"/>
  <c r="AM14" i="55"/>
  <c r="H40" i="107"/>
  <c r="AM13" i="55"/>
  <c r="G40" i="107"/>
  <c r="W39" i="107"/>
  <c r="V39" i="107"/>
  <c r="U39" i="107"/>
  <c r="T39" i="107"/>
  <c r="S39" i="107"/>
  <c r="R39" i="107"/>
  <c r="Q39" i="107"/>
  <c r="P39" i="107"/>
  <c r="O39" i="107"/>
  <c r="N39" i="107"/>
  <c r="M39" i="107"/>
  <c r="L39" i="107"/>
  <c r="K39" i="107"/>
  <c r="J39" i="107"/>
  <c r="I39" i="107"/>
  <c r="H39" i="107"/>
  <c r="G39" i="107"/>
  <c r="W38" i="107"/>
  <c r="V38" i="107"/>
  <c r="U38" i="107"/>
  <c r="T38" i="107"/>
  <c r="S38" i="107"/>
  <c r="R38" i="107"/>
  <c r="Q38" i="107"/>
  <c r="P38" i="107"/>
  <c r="O38" i="107"/>
  <c r="N38" i="107"/>
  <c r="M38" i="107"/>
  <c r="L38" i="107"/>
  <c r="K38" i="107"/>
  <c r="J38" i="107"/>
  <c r="I38" i="107"/>
  <c r="H38" i="107"/>
  <c r="G38" i="107"/>
  <c r="W37" i="107"/>
  <c r="V37" i="107"/>
  <c r="U37" i="107"/>
  <c r="T37" i="107"/>
  <c r="S37" i="107"/>
  <c r="R37" i="107"/>
  <c r="Q37" i="107"/>
  <c r="P37" i="107"/>
  <c r="O37" i="107"/>
  <c r="N37" i="107"/>
  <c r="M37" i="107"/>
  <c r="L37" i="107"/>
  <c r="K37" i="107"/>
  <c r="J37" i="107"/>
  <c r="I37" i="107"/>
  <c r="H37" i="107"/>
  <c r="G37" i="107"/>
  <c r="W36" i="107"/>
  <c r="V36" i="107"/>
  <c r="U36" i="107"/>
  <c r="T36" i="107"/>
  <c r="S36" i="107"/>
  <c r="R36" i="107"/>
  <c r="Q36" i="107"/>
  <c r="P36" i="107"/>
  <c r="O36" i="107"/>
  <c r="N36" i="107"/>
  <c r="M36" i="107"/>
  <c r="L36" i="107"/>
  <c r="K36" i="107"/>
  <c r="J36" i="107"/>
  <c r="I36" i="107"/>
  <c r="H36" i="107"/>
  <c r="G36" i="107"/>
  <c r="V35" i="107"/>
  <c r="U35" i="107"/>
  <c r="T35" i="107"/>
  <c r="S35" i="107"/>
  <c r="R35" i="107"/>
  <c r="Q35" i="107"/>
  <c r="P35" i="107"/>
  <c r="O35" i="107"/>
  <c r="N35" i="107"/>
  <c r="M35" i="107"/>
  <c r="L35" i="107"/>
  <c r="K35" i="107"/>
  <c r="J35" i="107"/>
  <c r="I35" i="107"/>
  <c r="H35" i="107"/>
  <c r="G35" i="107"/>
  <c r="AG29" i="55"/>
  <c r="W34" i="107"/>
  <c r="V34" i="107"/>
  <c r="U34" i="107"/>
  <c r="T34" i="107"/>
  <c r="S34" i="107"/>
  <c r="R34" i="107"/>
  <c r="Q34" i="107"/>
  <c r="P34" i="107"/>
  <c r="O34" i="107"/>
  <c r="N34" i="107"/>
  <c r="M34" i="107"/>
  <c r="L34" i="107"/>
  <c r="K34" i="107"/>
  <c r="J34" i="107"/>
  <c r="I34" i="107"/>
  <c r="H34" i="107"/>
  <c r="G34" i="107"/>
  <c r="A63" i="98"/>
  <c r="AF29" i="55"/>
  <c r="W33" i="107"/>
  <c r="V33" i="107"/>
  <c r="U33" i="107"/>
  <c r="T33" i="107"/>
  <c r="S33" i="107"/>
  <c r="R33" i="107"/>
  <c r="Q33" i="107"/>
  <c r="P33" i="107"/>
  <c r="O33" i="107"/>
  <c r="N33" i="107"/>
  <c r="M33" i="107"/>
  <c r="L33" i="107"/>
  <c r="K33" i="107"/>
  <c r="J33" i="107"/>
  <c r="I33" i="107"/>
  <c r="H33" i="107"/>
  <c r="G33" i="107"/>
  <c r="W32" i="107"/>
  <c r="V32" i="107"/>
  <c r="U32" i="107"/>
  <c r="T32" i="107"/>
  <c r="S32" i="107"/>
  <c r="R32" i="107"/>
  <c r="Q32" i="107"/>
  <c r="P32" i="107"/>
  <c r="O32" i="107"/>
  <c r="N32" i="107"/>
  <c r="M32" i="107"/>
  <c r="L32" i="107"/>
  <c r="K32" i="107"/>
  <c r="J32" i="107"/>
  <c r="I32" i="107"/>
  <c r="H32" i="107"/>
  <c r="G32" i="107"/>
  <c r="F84" i="20"/>
  <c r="G84" i="20"/>
  <c r="H84" i="20"/>
  <c r="I84" i="20"/>
  <c r="J84" i="20"/>
  <c r="B84" i="20"/>
  <c r="K84" i="20"/>
  <c r="L84" i="20"/>
  <c r="M84" i="20"/>
  <c r="N84" i="20"/>
  <c r="O84" i="20"/>
  <c r="P84" i="20"/>
  <c r="F85" i="20"/>
  <c r="G85" i="20"/>
  <c r="H85" i="20"/>
  <c r="I85" i="20"/>
  <c r="J85" i="20"/>
  <c r="B85" i="20"/>
  <c r="K85" i="20"/>
  <c r="L85" i="20"/>
  <c r="M85" i="20"/>
  <c r="N85" i="20"/>
  <c r="O85" i="20"/>
  <c r="P85" i="20"/>
  <c r="F86" i="20"/>
  <c r="G86" i="20"/>
  <c r="H86" i="20"/>
  <c r="I86" i="20"/>
  <c r="B86" i="20"/>
  <c r="J86" i="20"/>
  <c r="L86" i="20"/>
  <c r="M86" i="20"/>
  <c r="N86" i="20"/>
  <c r="O86" i="20"/>
  <c r="P86" i="20"/>
  <c r="F87" i="20"/>
  <c r="G87" i="20"/>
  <c r="H87" i="20"/>
  <c r="L87" i="20"/>
  <c r="M87" i="20"/>
  <c r="N87" i="20"/>
  <c r="O87" i="20"/>
  <c r="P87" i="20"/>
  <c r="F88" i="20"/>
  <c r="G88" i="20"/>
  <c r="H88" i="20"/>
  <c r="B88" i="20"/>
  <c r="I88" i="20"/>
  <c r="L88" i="20"/>
  <c r="M88" i="20"/>
  <c r="N88" i="20"/>
  <c r="O88" i="20"/>
  <c r="P88" i="20"/>
  <c r="F89" i="20"/>
  <c r="G89" i="20"/>
  <c r="B89" i="20"/>
  <c r="H89" i="20"/>
  <c r="L89" i="20"/>
  <c r="M89" i="20"/>
  <c r="N89" i="20"/>
  <c r="O89" i="20"/>
  <c r="P89" i="20"/>
  <c r="F90" i="20"/>
  <c r="G90" i="20"/>
  <c r="H90" i="20"/>
  <c r="B90" i="20"/>
  <c r="I90" i="20"/>
  <c r="L90" i="20"/>
  <c r="M90" i="20"/>
  <c r="N90" i="20"/>
  <c r="O90" i="20"/>
  <c r="P90" i="20"/>
  <c r="F91" i="20"/>
  <c r="G91" i="20"/>
  <c r="H91" i="20"/>
  <c r="B91" i="20"/>
  <c r="I91" i="20"/>
  <c r="L91" i="20"/>
  <c r="M91" i="20"/>
  <c r="N91" i="20"/>
  <c r="O91" i="20"/>
  <c r="P91" i="20"/>
  <c r="F92" i="20"/>
  <c r="G92" i="20"/>
  <c r="H92" i="20"/>
  <c r="B92" i="20"/>
  <c r="I92" i="20"/>
  <c r="L92" i="20"/>
  <c r="M92" i="20"/>
  <c r="N92" i="20"/>
  <c r="O92" i="20"/>
  <c r="P92" i="20"/>
  <c r="F93" i="20"/>
  <c r="G93" i="20"/>
  <c r="B93" i="20"/>
  <c r="H93" i="20"/>
  <c r="L93" i="20"/>
  <c r="M93" i="20"/>
  <c r="N93" i="20"/>
  <c r="O93" i="20"/>
  <c r="P93" i="20"/>
  <c r="F94" i="20"/>
  <c r="B94" i="20"/>
  <c r="G94" i="20"/>
  <c r="L94" i="20"/>
  <c r="M94" i="20"/>
  <c r="N94" i="20"/>
  <c r="O94" i="20"/>
  <c r="P94" i="20"/>
  <c r="F95" i="20"/>
  <c r="B95" i="20"/>
  <c r="G95" i="20"/>
  <c r="L95" i="20"/>
  <c r="M95" i="20"/>
  <c r="N95" i="20"/>
  <c r="O95" i="20"/>
  <c r="P95" i="20"/>
  <c r="F96" i="20"/>
  <c r="G96" i="20"/>
  <c r="L96" i="20"/>
  <c r="M96" i="20"/>
  <c r="N96" i="20"/>
  <c r="O96" i="20"/>
  <c r="P96" i="20"/>
  <c r="F97" i="20"/>
  <c r="G97" i="20"/>
  <c r="L97" i="20"/>
  <c r="M97" i="20"/>
  <c r="N97" i="20"/>
  <c r="O97" i="20"/>
  <c r="P97" i="20"/>
  <c r="F98" i="20"/>
  <c r="G98" i="20"/>
  <c r="L98" i="20"/>
  <c r="M98" i="20"/>
  <c r="N98" i="20"/>
  <c r="O98" i="20"/>
  <c r="P98" i="20"/>
  <c r="F99" i="20"/>
  <c r="G99" i="20"/>
  <c r="L99" i="20"/>
  <c r="M99" i="20"/>
  <c r="N99" i="20"/>
  <c r="O99" i="20"/>
  <c r="P99" i="20"/>
  <c r="F100" i="20"/>
  <c r="G100" i="20"/>
  <c r="L100" i="20"/>
  <c r="M100" i="20"/>
  <c r="N100" i="20"/>
  <c r="O100" i="20"/>
  <c r="P100" i="20"/>
  <c r="F101" i="20"/>
  <c r="G101" i="20"/>
  <c r="L101" i="20"/>
  <c r="M101" i="20"/>
  <c r="N101" i="20"/>
  <c r="O101" i="20"/>
  <c r="P101" i="20"/>
  <c r="F102" i="20"/>
  <c r="G102" i="20"/>
  <c r="L102" i="20"/>
  <c r="M102" i="20"/>
  <c r="N102" i="20"/>
  <c r="O102" i="20"/>
  <c r="P102" i="20"/>
  <c r="F103" i="20"/>
  <c r="G103" i="20"/>
  <c r="L103" i="20"/>
  <c r="M103" i="20"/>
  <c r="N103" i="20"/>
  <c r="O103" i="20"/>
  <c r="P103" i="20"/>
  <c r="F104" i="20"/>
  <c r="G104" i="20"/>
  <c r="L104" i="20"/>
  <c r="M104" i="20"/>
  <c r="N104" i="20"/>
  <c r="O104" i="20"/>
  <c r="P104" i="20"/>
  <c r="F105" i="20"/>
  <c r="G105" i="20"/>
  <c r="L105" i="20"/>
  <c r="M105" i="20"/>
  <c r="N105" i="20"/>
  <c r="O105" i="20"/>
  <c r="P105" i="20"/>
  <c r="F106" i="20"/>
  <c r="G106" i="20"/>
  <c r="L106" i="20"/>
  <c r="M106" i="20"/>
  <c r="N106" i="20"/>
  <c r="O106" i="20"/>
  <c r="P106" i="20"/>
  <c r="F107" i="20"/>
  <c r="G107" i="20"/>
  <c r="L107" i="20"/>
  <c r="M107" i="20"/>
  <c r="N107" i="20"/>
  <c r="O107" i="20"/>
  <c r="P107" i="20"/>
  <c r="F108" i="20"/>
  <c r="G108" i="20"/>
  <c r="L108" i="20"/>
  <c r="M108" i="20"/>
  <c r="N108" i="20"/>
  <c r="O108" i="20"/>
  <c r="P108" i="20"/>
  <c r="F109" i="20"/>
  <c r="G109" i="20"/>
  <c r="L109" i="20"/>
  <c r="M109" i="20"/>
  <c r="N109" i="20"/>
  <c r="O109" i="20"/>
  <c r="P109" i="20"/>
  <c r="F110" i="20"/>
  <c r="G110" i="20"/>
  <c r="L110" i="20"/>
  <c r="M110" i="20"/>
  <c r="N110" i="20"/>
  <c r="O110" i="20"/>
  <c r="P110" i="20"/>
  <c r="F111" i="20"/>
  <c r="G111" i="20"/>
  <c r="L111" i="20"/>
  <c r="M111" i="20"/>
  <c r="N111" i="20"/>
  <c r="O111" i="20"/>
  <c r="P111" i="20"/>
  <c r="F112" i="20"/>
  <c r="G112" i="20"/>
  <c r="L112" i="20"/>
  <c r="M112" i="20"/>
  <c r="N112" i="20"/>
  <c r="O112" i="20"/>
  <c r="P112" i="20"/>
  <c r="F113" i="20"/>
  <c r="G113" i="20"/>
  <c r="L113" i="20"/>
  <c r="M113" i="20"/>
  <c r="N113" i="20"/>
  <c r="O113" i="20"/>
  <c r="P113" i="20"/>
  <c r="F114" i="20"/>
  <c r="G114" i="20"/>
  <c r="L114" i="20"/>
  <c r="M114" i="20"/>
  <c r="N114" i="20"/>
  <c r="O114" i="20"/>
  <c r="P114" i="20"/>
  <c r="F115" i="20"/>
  <c r="G115" i="20"/>
  <c r="L115" i="20"/>
  <c r="M115" i="20"/>
  <c r="N115" i="20"/>
  <c r="O115" i="20"/>
  <c r="P115" i="20"/>
  <c r="F116" i="20"/>
  <c r="G116" i="20"/>
  <c r="L116" i="20"/>
  <c r="M116" i="20"/>
  <c r="N116" i="20"/>
  <c r="O116" i="20"/>
  <c r="P116" i="20"/>
  <c r="F117" i="20"/>
  <c r="G117" i="20"/>
  <c r="L117" i="20"/>
  <c r="M117" i="20"/>
  <c r="N117" i="20"/>
  <c r="O117" i="20"/>
  <c r="P117" i="20"/>
  <c r="F118" i="20"/>
  <c r="G118" i="20"/>
  <c r="L118" i="20"/>
  <c r="M118" i="20"/>
  <c r="N118" i="20"/>
  <c r="O118" i="20"/>
  <c r="P118" i="20"/>
  <c r="F119" i="20"/>
  <c r="G119" i="20"/>
  <c r="L119" i="20"/>
  <c r="M119" i="20"/>
  <c r="N119" i="20"/>
  <c r="O119" i="20"/>
  <c r="P119" i="20"/>
  <c r="P120" i="20"/>
  <c r="P121" i="20"/>
  <c r="AD28" i="55"/>
  <c r="AD29" i="55"/>
  <c r="W31" i="107"/>
  <c r="V31" i="107"/>
  <c r="U31" i="107"/>
  <c r="T31" i="107"/>
  <c r="S31" i="107"/>
  <c r="R31" i="107"/>
  <c r="Q31" i="107"/>
  <c r="P31" i="107"/>
  <c r="O31" i="107"/>
  <c r="N31" i="107"/>
  <c r="M31" i="107"/>
  <c r="L31" i="107"/>
  <c r="K31" i="107"/>
  <c r="J31" i="107"/>
  <c r="I31" i="107"/>
  <c r="H31" i="107"/>
  <c r="G31" i="107"/>
  <c r="W30" i="107"/>
  <c r="V30" i="107"/>
  <c r="U30" i="107"/>
  <c r="T30" i="107"/>
  <c r="S30" i="107"/>
  <c r="R30" i="107"/>
  <c r="Q30" i="107"/>
  <c r="P30" i="107"/>
  <c r="O30" i="107"/>
  <c r="N30" i="107"/>
  <c r="M30" i="107"/>
  <c r="L30" i="107"/>
  <c r="K30" i="107"/>
  <c r="J30" i="107"/>
  <c r="I30" i="107"/>
  <c r="H30" i="107"/>
  <c r="G30" i="107"/>
  <c r="W29" i="107"/>
  <c r="V29" i="107"/>
  <c r="U29" i="107"/>
  <c r="T29" i="107"/>
  <c r="S29" i="107"/>
  <c r="R29" i="107"/>
  <c r="Q29" i="107"/>
  <c r="P29" i="107"/>
  <c r="O29" i="107"/>
  <c r="N29" i="107"/>
  <c r="M29" i="107"/>
  <c r="L29" i="107"/>
  <c r="K29" i="107"/>
  <c r="J29" i="107"/>
  <c r="I29" i="107"/>
  <c r="H29" i="107"/>
  <c r="G29" i="107"/>
  <c r="W28" i="107"/>
  <c r="V28" i="107"/>
  <c r="U28" i="107"/>
  <c r="T28" i="107"/>
  <c r="S28" i="107"/>
  <c r="R28" i="107"/>
  <c r="Q28" i="107"/>
  <c r="P28" i="107"/>
  <c r="O28" i="107"/>
  <c r="N28" i="107"/>
  <c r="M28" i="107"/>
  <c r="L28" i="107"/>
  <c r="K28" i="107"/>
  <c r="J28" i="107"/>
  <c r="I28" i="107"/>
  <c r="H28" i="107"/>
  <c r="G28" i="107"/>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121" i="21"/>
  <c r="K122" i="21"/>
  <c r="K123" i="21"/>
  <c r="K124" i="21"/>
  <c r="K125" i="21"/>
  <c r="K126" i="21"/>
  <c r="E170" i="21"/>
  <c r="F170" i="21"/>
  <c r="G170" i="21"/>
  <c r="H170" i="21"/>
  <c r="I170" i="21"/>
  <c r="J170" i="21"/>
  <c r="K170" i="21"/>
  <c r="K127" i="21"/>
  <c r="E171" i="21"/>
  <c r="F171" i="21"/>
  <c r="G171" i="21"/>
  <c r="H171" i="21"/>
  <c r="I171" i="21"/>
  <c r="J171" i="21"/>
  <c r="K171" i="21"/>
  <c r="K128" i="21"/>
  <c r="K129" i="21"/>
  <c r="Z29" i="55"/>
  <c r="W27" i="107"/>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Z28" i="55"/>
  <c r="V27" i="107"/>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Z27" i="55"/>
  <c r="U27" i="107"/>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Z26" i="55"/>
  <c r="T27" i="107"/>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Z25" i="55"/>
  <c r="S27" i="107"/>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Z24" i="55"/>
  <c r="R27" i="107"/>
  <c r="E93"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Z23" i="55"/>
  <c r="Q27" i="107"/>
  <c r="P27" i="107"/>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Z21" i="55"/>
  <c r="O27" i="107"/>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Z20" i="55"/>
  <c r="N27" i="107"/>
  <c r="M27" i="107"/>
  <c r="L27" i="107"/>
  <c r="K27" i="107"/>
  <c r="J27" i="107"/>
  <c r="I27" i="107"/>
  <c r="H27" i="107"/>
  <c r="G27" i="107"/>
  <c r="W26" i="107"/>
  <c r="V26" i="107"/>
  <c r="U26" i="107"/>
  <c r="T26" i="107"/>
  <c r="S26" i="107"/>
  <c r="R26" i="107"/>
  <c r="Q26" i="107"/>
  <c r="P26" i="107"/>
  <c r="O26" i="107"/>
  <c r="N26" i="107"/>
  <c r="M26" i="107"/>
  <c r="L26" i="107"/>
  <c r="K26" i="107"/>
  <c r="J26" i="107"/>
  <c r="I26" i="107"/>
  <c r="H26" i="107"/>
  <c r="G26" i="107"/>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E136" i="19"/>
  <c r="F136" i="19"/>
  <c r="G136" i="19"/>
  <c r="H136" i="19"/>
  <c r="I136" i="19"/>
  <c r="J136" i="19"/>
  <c r="K136" i="19"/>
  <c r="K96" i="19"/>
  <c r="E137" i="19"/>
  <c r="F137" i="19"/>
  <c r="G137" i="19"/>
  <c r="H137" i="19"/>
  <c r="I137" i="19"/>
  <c r="J137" i="19"/>
  <c r="K137" i="19"/>
  <c r="K97" i="19"/>
  <c r="K98" i="19"/>
  <c r="X29" i="55"/>
  <c r="W25" i="107"/>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X28" i="55"/>
  <c r="V25" i="107"/>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X27" i="55"/>
  <c r="U25" i="107"/>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X26" i="55"/>
  <c r="T25" i="107"/>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X25" i="55"/>
  <c r="S25" i="107"/>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X24" i="55"/>
  <c r="R25" i="107"/>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X23" i="55"/>
  <c r="Q25" i="107"/>
  <c r="P25" i="107"/>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X21" i="55"/>
  <c r="O25" i="107"/>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X20" i="55"/>
  <c r="N25" i="107"/>
  <c r="M25" i="107"/>
  <c r="L25" i="107"/>
  <c r="K25" i="107"/>
  <c r="J25" i="107"/>
  <c r="I25" i="107"/>
  <c r="H25" i="107"/>
  <c r="G25" i="107"/>
  <c r="D29" i="102"/>
  <c r="E29" i="102"/>
  <c r="W29" i="55"/>
  <c r="W24" i="107"/>
  <c r="D28" i="102"/>
  <c r="E28" i="102"/>
  <c r="W28" i="55"/>
  <c r="V24" i="107"/>
  <c r="U24" i="107"/>
  <c r="T24" i="107"/>
  <c r="S24" i="107"/>
  <c r="R24" i="107"/>
  <c r="Q24" i="107"/>
  <c r="P24" i="107"/>
  <c r="O24" i="107"/>
  <c r="N24" i="107"/>
  <c r="M24" i="107"/>
  <c r="L24" i="107"/>
  <c r="K24" i="107"/>
  <c r="J24" i="107"/>
  <c r="I24" i="107"/>
  <c r="H24" i="107"/>
  <c r="G24" i="107"/>
  <c r="D39" i="101"/>
  <c r="E39" i="101"/>
  <c r="V29" i="55"/>
  <c r="W23" i="107"/>
  <c r="D38" i="101"/>
  <c r="E38" i="101"/>
  <c r="V28" i="55"/>
  <c r="V23" i="107"/>
  <c r="D37" i="101"/>
  <c r="E37" i="101"/>
  <c r="V27" i="55"/>
  <c r="U23" i="107"/>
  <c r="D36" i="101"/>
  <c r="E36" i="101"/>
  <c r="V26" i="55"/>
  <c r="T23" i="107"/>
  <c r="D35" i="101"/>
  <c r="E35" i="101"/>
  <c r="V25" i="55"/>
  <c r="S23" i="107"/>
  <c r="D34" i="101"/>
  <c r="E34" i="101"/>
  <c r="V24" i="55"/>
  <c r="R23" i="107"/>
  <c r="D33" i="101"/>
  <c r="E33" i="101"/>
  <c r="V23" i="55"/>
  <c r="Q23" i="107"/>
  <c r="P23" i="107"/>
  <c r="D31" i="101"/>
  <c r="E31" i="101"/>
  <c r="V21" i="55"/>
  <c r="O23" i="107"/>
  <c r="D30" i="101"/>
  <c r="E30" i="101"/>
  <c r="V20" i="55"/>
  <c r="N23" i="107"/>
  <c r="M23" i="107"/>
  <c r="L23" i="107"/>
  <c r="K23" i="107"/>
  <c r="J23" i="107"/>
  <c r="I23" i="107"/>
  <c r="H23" i="107"/>
  <c r="G23" i="107"/>
  <c r="E28" i="97"/>
  <c r="U29" i="55"/>
  <c r="W22" i="107"/>
  <c r="E27" i="97"/>
  <c r="U28" i="55"/>
  <c r="V22" i="107"/>
  <c r="E26" i="97"/>
  <c r="U27" i="55"/>
  <c r="U22" i="107"/>
  <c r="E25" i="97"/>
  <c r="U26" i="55"/>
  <c r="T22" i="107"/>
  <c r="S22" i="107"/>
  <c r="R22" i="107"/>
  <c r="Q22" i="107"/>
  <c r="P22" i="107"/>
  <c r="O22" i="107"/>
  <c r="N22" i="107"/>
  <c r="M22" i="107"/>
  <c r="L22" i="107"/>
  <c r="K22" i="107"/>
  <c r="J22" i="107"/>
  <c r="I22" i="107"/>
  <c r="H22" i="107"/>
  <c r="G22" i="107"/>
  <c r="D29" i="96"/>
  <c r="E29" i="96"/>
  <c r="T29" i="55"/>
  <c r="W21" i="107"/>
  <c r="D28" i="96"/>
  <c r="E28" i="96"/>
  <c r="T28" i="55"/>
  <c r="V21" i="107"/>
  <c r="D27" i="96"/>
  <c r="E27" i="96"/>
  <c r="T27" i="55"/>
  <c r="U21" i="107"/>
  <c r="D26" i="96"/>
  <c r="E26" i="96"/>
  <c r="T26" i="55"/>
  <c r="T21" i="107"/>
  <c r="D25" i="96"/>
  <c r="E25" i="96"/>
  <c r="T25" i="55"/>
  <c r="S21" i="107"/>
  <c r="D24" i="96"/>
  <c r="E24" i="96"/>
  <c r="T24" i="55"/>
  <c r="R21" i="107"/>
  <c r="D23" i="96"/>
  <c r="E23" i="96"/>
  <c r="T23" i="55"/>
  <c r="Q21" i="107"/>
  <c r="P21" i="107"/>
  <c r="D21" i="96"/>
  <c r="E21" i="96"/>
  <c r="T21" i="55"/>
  <c r="O21" i="107"/>
  <c r="D20" i="96"/>
  <c r="E20" i="96"/>
  <c r="T20" i="55"/>
  <c r="N21" i="107"/>
  <c r="M21" i="107"/>
  <c r="L21" i="107"/>
  <c r="K21" i="107"/>
  <c r="J21" i="107"/>
  <c r="I21" i="107"/>
  <c r="H21" i="107"/>
  <c r="G21" i="107"/>
  <c r="S29" i="55"/>
  <c r="W20" i="107"/>
  <c r="S28" i="55"/>
  <c r="V20" i="107"/>
  <c r="S27" i="55"/>
  <c r="U20" i="107"/>
  <c r="S26" i="55"/>
  <c r="T20" i="107"/>
  <c r="S20" i="107"/>
  <c r="R20" i="107"/>
  <c r="Q20" i="107"/>
  <c r="P20" i="107"/>
  <c r="O20" i="107"/>
  <c r="N20" i="107"/>
  <c r="M20" i="107"/>
  <c r="L20" i="107"/>
  <c r="K20" i="107"/>
  <c r="J20" i="107"/>
  <c r="I20" i="107"/>
  <c r="H20" i="107"/>
  <c r="G20" i="107"/>
  <c r="B30" i="68"/>
  <c r="R29" i="55"/>
  <c r="W19" i="107"/>
  <c r="B29" i="68"/>
  <c r="R28" i="55"/>
  <c r="V19" i="107"/>
  <c r="R27" i="55"/>
  <c r="U19" i="107"/>
  <c r="R26" i="55"/>
  <c r="T19" i="107"/>
  <c r="R25" i="55"/>
  <c r="R24" i="55"/>
  <c r="R23" i="55"/>
  <c r="R21" i="55"/>
  <c r="R20" i="55"/>
  <c r="M19" i="107"/>
  <c r="L19" i="107"/>
  <c r="K19" i="107"/>
  <c r="J19" i="107"/>
  <c r="I19" i="107"/>
  <c r="H19" i="107"/>
  <c r="G19" i="107"/>
  <c r="Q29" i="55"/>
  <c r="W18" i="107"/>
  <c r="Q28" i="55"/>
  <c r="V18" i="107"/>
  <c r="Q27" i="55"/>
  <c r="U18" i="107"/>
  <c r="Q26" i="55"/>
  <c r="T18" i="107"/>
  <c r="Q25" i="55"/>
  <c r="S18" i="107"/>
  <c r="Q24" i="55"/>
  <c r="R18" i="107"/>
  <c r="Q18" i="107"/>
  <c r="P18" i="107"/>
  <c r="O18" i="107"/>
  <c r="N18" i="107"/>
  <c r="M18" i="107"/>
  <c r="L18" i="107"/>
  <c r="K18" i="107"/>
  <c r="J18" i="107"/>
  <c r="I18" i="107"/>
  <c r="H18" i="107"/>
  <c r="G18" i="107"/>
  <c r="P29" i="55"/>
  <c r="W17" i="107"/>
  <c r="P28" i="55"/>
  <c r="V17" i="107"/>
  <c r="P27" i="55"/>
  <c r="U17" i="107"/>
  <c r="P26" i="55"/>
  <c r="T17" i="107"/>
  <c r="P25" i="55"/>
  <c r="S17" i="107"/>
  <c r="P24" i="55"/>
  <c r="R17" i="107"/>
  <c r="P23" i="55"/>
  <c r="Q17" i="107"/>
  <c r="P17" i="107"/>
  <c r="P21" i="55"/>
  <c r="O17" i="107"/>
  <c r="P20" i="55"/>
  <c r="N17" i="107"/>
  <c r="P19" i="55"/>
  <c r="M17" i="107"/>
  <c r="P18" i="55"/>
  <c r="L17" i="107"/>
  <c r="K17" i="107"/>
  <c r="J17" i="107"/>
  <c r="I17" i="107"/>
  <c r="H17" i="107"/>
  <c r="G17" i="107"/>
  <c r="O29" i="55"/>
  <c r="W16" i="107"/>
  <c r="O28" i="55"/>
  <c r="V16" i="107"/>
  <c r="O27" i="55"/>
  <c r="U16" i="107"/>
  <c r="O26" i="55"/>
  <c r="T16" i="107"/>
  <c r="O25" i="55"/>
  <c r="S16" i="107"/>
  <c r="O24" i="55"/>
  <c r="R16" i="107"/>
  <c r="O23" i="55"/>
  <c r="Q16" i="107"/>
  <c r="P16" i="107"/>
  <c r="O21" i="55"/>
  <c r="O16" i="107"/>
  <c r="O20" i="55"/>
  <c r="N16" i="107"/>
  <c r="M16" i="107"/>
  <c r="L16" i="107"/>
  <c r="K16" i="107"/>
  <c r="J16" i="107"/>
  <c r="I16" i="107"/>
  <c r="H16" i="107"/>
  <c r="G16" i="107"/>
  <c r="D41" i="14"/>
  <c r="N29" i="55"/>
  <c r="W15" i="107"/>
  <c r="D40" i="14"/>
  <c r="N28" i="55"/>
  <c r="V15" i="107"/>
  <c r="D39" i="14"/>
  <c r="N27" i="55"/>
  <c r="U15" i="107"/>
  <c r="D38" i="14"/>
  <c r="N26" i="55"/>
  <c r="T15" i="107"/>
  <c r="D37" i="14"/>
  <c r="N25" i="55"/>
  <c r="S15" i="107"/>
  <c r="D36" i="14"/>
  <c r="N24" i="55"/>
  <c r="R15" i="107"/>
  <c r="D35" i="14"/>
  <c r="N23" i="55"/>
  <c r="Q15" i="107"/>
  <c r="P15" i="107"/>
  <c r="D33" i="14"/>
  <c r="N21" i="55"/>
  <c r="O15" i="107"/>
  <c r="D32" i="14"/>
  <c r="N20" i="55"/>
  <c r="N15" i="107"/>
  <c r="M15" i="107"/>
  <c r="L15" i="107"/>
  <c r="K15" i="107"/>
  <c r="J15" i="107"/>
  <c r="I15" i="107"/>
  <c r="H15" i="107"/>
  <c r="G15" i="107"/>
  <c r="B117" i="61"/>
  <c r="C117" i="61"/>
  <c r="D117" i="61"/>
  <c r="J73" i="61"/>
  <c r="J74" i="61"/>
  <c r="J75" i="61"/>
  <c r="C91" i="61"/>
  <c r="C73" i="61"/>
  <c r="B91" i="61"/>
  <c r="D91" i="61"/>
  <c r="E117" i="61"/>
  <c r="F117" i="61"/>
  <c r="M29" i="55"/>
  <c r="W14" i="107"/>
  <c r="B116" i="61"/>
  <c r="C116" i="61"/>
  <c r="D116" i="61"/>
  <c r="J68" i="61"/>
  <c r="J69" i="61"/>
  <c r="J70" i="61"/>
  <c r="J71" i="61"/>
  <c r="C90" i="61"/>
  <c r="B90" i="61"/>
  <c r="D90" i="61"/>
  <c r="E116" i="61"/>
  <c r="F116" i="61"/>
  <c r="M28" i="55"/>
  <c r="V14" i="107"/>
  <c r="B115" i="61"/>
  <c r="C115" i="61"/>
  <c r="D115" i="61"/>
  <c r="J64" i="61"/>
  <c r="J65" i="61"/>
  <c r="J66" i="61"/>
  <c r="J67" i="61"/>
  <c r="C89" i="61"/>
  <c r="B89" i="61"/>
  <c r="D89" i="61"/>
  <c r="E115" i="61"/>
  <c r="F115" i="61"/>
  <c r="M27" i="55"/>
  <c r="U14" i="107"/>
  <c r="B114" i="61"/>
  <c r="C114" i="61"/>
  <c r="D114" i="61"/>
  <c r="J60" i="61"/>
  <c r="J61" i="61"/>
  <c r="J62" i="61"/>
  <c r="J63" i="61"/>
  <c r="C88" i="61"/>
  <c r="B88" i="61"/>
  <c r="D88" i="61"/>
  <c r="E114" i="61"/>
  <c r="F114" i="61"/>
  <c r="M26" i="55"/>
  <c r="T14" i="107"/>
  <c r="D40" i="61"/>
  <c r="D113" i="61"/>
  <c r="J56" i="61"/>
  <c r="J57" i="61"/>
  <c r="J58" i="61"/>
  <c r="J59" i="61"/>
  <c r="C87" i="61"/>
  <c r="B87" i="61"/>
  <c r="D87" i="61"/>
  <c r="E113" i="61"/>
  <c r="F113" i="61"/>
  <c r="M25" i="55"/>
  <c r="S14" i="107"/>
  <c r="D39" i="61"/>
  <c r="D112" i="61"/>
  <c r="F112" i="61"/>
  <c r="M24" i="55"/>
  <c r="R14" i="107"/>
  <c r="D111" i="61"/>
  <c r="F111" i="61"/>
  <c r="M23" i="55"/>
  <c r="Q14" i="107"/>
  <c r="P14" i="107"/>
  <c r="D109" i="61"/>
  <c r="F109" i="61"/>
  <c r="M21" i="55"/>
  <c r="O14" i="107"/>
  <c r="D108" i="61"/>
  <c r="F108" i="61"/>
  <c r="M20" i="55"/>
  <c r="N14" i="107"/>
  <c r="M14" i="107"/>
  <c r="L14" i="107"/>
  <c r="K14" i="107"/>
  <c r="J14" i="107"/>
  <c r="I14" i="107"/>
  <c r="H14" i="107"/>
  <c r="G14" i="107"/>
  <c r="H57" i="57"/>
  <c r="I57" i="57"/>
  <c r="F49" i="57"/>
  <c r="L29" i="55"/>
  <c r="W13" i="107"/>
  <c r="H56" i="57"/>
  <c r="I56" i="57"/>
  <c r="F48" i="57"/>
  <c r="L28" i="55"/>
  <c r="V13" i="107"/>
  <c r="H55" i="57"/>
  <c r="I55" i="57"/>
  <c r="F47" i="57"/>
  <c r="L27" i="55"/>
  <c r="U13" i="107"/>
  <c r="F46" i="57"/>
  <c r="L26" i="55"/>
  <c r="T13" i="107"/>
  <c r="F45" i="57"/>
  <c r="L25" i="55"/>
  <c r="S13" i="107"/>
  <c r="F44" i="57"/>
  <c r="L24" i="55"/>
  <c r="R13" i="107"/>
  <c r="F43" i="57"/>
  <c r="L23" i="55"/>
  <c r="Q13" i="107"/>
  <c r="P13" i="107"/>
  <c r="F41" i="57"/>
  <c r="L21" i="55"/>
  <c r="O13" i="107"/>
  <c r="F40" i="57"/>
  <c r="L20" i="55"/>
  <c r="N13" i="107"/>
  <c r="M13" i="107"/>
  <c r="L13" i="107"/>
  <c r="K13" i="107"/>
  <c r="J13" i="107"/>
  <c r="I13" i="107"/>
  <c r="H13" i="107"/>
  <c r="G13" i="107"/>
  <c r="D31" i="36"/>
  <c r="D32" i="36"/>
  <c r="D33" i="36"/>
  <c r="B90" i="36"/>
  <c r="F61" i="36"/>
  <c r="C90" i="36"/>
  <c r="D90" i="36"/>
  <c r="K29" i="55"/>
  <c r="W12" i="107"/>
  <c r="B89" i="36"/>
  <c r="F60" i="36"/>
  <c r="C89" i="36"/>
  <c r="D89" i="36"/>
  <c r="K28" i="55"/>
  <c r="V12" i="107"/>
  <c r="B88" i="36"/>
  <c r="F59" i="36"/>
  <c r="C88" i="36"/>
  <c r="D88" i="36"/>
  <c r="K27" i="55"/>
  <c r="U12" i="107"/>
  <c r="B87" i="36"/>
  <c r="F58" i="36"/>
  <c r="C87" i="36"/>
  <c r="D87" i="36"/>
  <c r="K26" i="55"/>
  <c r="T12" i="107"/>
  <c r="B86" i="36"/>
  <c r="F57" i="36"/>
  <c r="C86" i="36"/>
  <c r="D86" i="36"/>
  <c r="K25" i="55"/>
  <c r="S12" i="107"/>
  <c r="F56" i="36"/>
  <c r="C85" i="36"/>
  <c r="D85" i="36"/>
  <c r="K24" i="55"/>
  <c r="R12" i="107"/>
  <c r="F55" i="36"/>
  <c r="C84" i="36"/>
  <c r="D84" i="36"/>
  <c r="K23" i="55"/>
  <c r="Q12" i="107"/>
  <c r="P12" i="107"/>
  <c r="F53" i="36"/>
  <c r="C82" i="36"/>
  <c r="D82" i="36"/>
  <c r="K21" i="55"/>
  <c r="O12" i="107"/>
  <c r="F52" i="36"/>
  <c r="C81" i="36"/>
  <c r="D81" i="36"/>
  <c r="K20" i="55"/>
  <c r="N12" i="107"/>
  <c r="M12" i="107"/>
  <c r="L12" i="107"/>
  <c r="K12" i="107"/>
  <c r="J12" i="107"/>
  <c r="I12" i="107"/>
  <c r="H12" i="107"/>
  <c r="G12" i="107"/>
  <c r="B63" i="42"/>
  <c r="C63" i="42"/>
  <c r="D63" i="42"/>
  <c r="E63" i="42"/>
  <c r="G63" i="42"/>
  <c r="J29" i="55"/>
  <c r="W11" i="107"/>
  <c r="B62" i="42"/>
  <c r="C62" i="42"/>
  <c r="D62" i="42"/>
  <c r="G62" i="42"/>
  <c r="J28" i="55"/>
  <c r="V11" i="107"/>
  <c r="B61" i="42"/>
  <c r="C61" i="42"/>
  <c r="D61" i="42"/>
  <c r="G61" i="42"/>
  <c r="J27" i="55"/>
  <c r="U11" i="107"/>
  <c r="B60" i="42"/>
  <c r="C60" i="42"/>
  <c r="D60" i="42"/>
  <c r="G60" i="42"/>
  <c r="J26" i="55"/>
  <c r="T11" i="107"/>
  <c r="B59" i="42"/>
  <c r="C59" i="42"/>
  <c r="D59" i="42"/>
  <c r="G59" i="42"/>
  <c r="J25" i="55"/>
  <c r="S11" i="107"/>
  <c r="R11" i="107"/>
  <c r="Q11" i="107"/>
  <c r="P11" i="107"/>
  <c r="O11" i="107"/>
  <c r="N11" i="107"/>
  <c r="M11" i="107"/>
  <c r="L11" i="107"/>
  <c r="K11" i="107"/>
  <c r="J11" i="107"/>
  <c r="I11" i="107"/>
  <c r="H11" i="107"/>
  <c r="G11" i="107"/>
  <c r="A51" i="70"/>
  <c r="I29" i="55"/>
  <c r="W10" i="107"/>
  <c r="V10" i="107"/>
  <c r="U10" i="107"/>
  <c r="T10" i="107"/>
  <c r="S10" i="107"/>
  <c r="R10" i="107"/>
  <c r="Q10" i="107"/>
  <c r="P10" i="107"/>
  <c r="O10" i="107"/>
  <c r="N10" i="107"/>
  <c r="M10" i="107"/>
  <c r="L10" i="107"/>
  <c r="K10" i="107"/>
  <c r="J10" i="107"/>
  <c r="I10" i="107"/>
  <c r="H10" i="107"/>
  <c r="G10" i="107"/>
  <c r="C18" i="41"/>
  <c r="F18" i="41"/>
  <c r="F19" i="41"/>
  <c r="H29" i="55"/>
  <c r="W9" i="107"/>
  <c r="H28" i="55"/>
  <c r="V9" i="107"/>
  <c r="U9" i="107"/>
  <c r="T9" i="107"/>
  <c r="S9" i="107"/>
  <c r="R9" i="107"/>
  <c r="Q9" i="107"/>
  <c r="P9" i="107"/>
  <c r="O9" i="107"/>
  <c r="N9" i="107"/>
  <c r="M9" i="107"/>
  <c r="L9" i="107"/>
  <c r="K9" i="107"/>
  <c r="J9" i="107"/>
  <c r="I9" i="107"/>
  <c r="H9" i="107"/>
  <c r="G9" i="107"/>
  <c r="B16" i="8"/>
  <c r="B17" i="8"/>
  <c r="B18" i="8"/>
  <c r="B19" i="8"/>
  <c r="G29" i="55"/>
  <c r="W8" i="107"/>
  <c r="G28" i="55"/>
  <c r="V8" i="107"/>
  <c r="G27" i="55"/>
  <c r="U8" i="107"/>
  <c r="G26" i="55"/>
  <c r="T8" i="107"/>
  <c r="B15" i="8"/>
  <c r="G25" i="55"/>
  <c r="S8" i="107"/>
  <c r="B14" i="8"/>
  <c r="G24" i="55"/>
  <c r="R8" i="107"/>
  <c r="G23" i="55"/>
  <c r="Q8" i="107"/>
  <c r="O8" i="107"/>
  <c r="N8" i="107"/>
  <c r="M8" i="107"/>
  <c r="L8" i="107"/>
  <c r="K8" i="107"/>
  <c r="J8" i="107"/>
  <c r="I8" i="107"/>
  <c r="H8" i="107"/>
  <c r="G8" i="107"/>
  <c r="W7" i="107"/>
  <c r="V7" i="107"/>
  <c r="U7" i="107"/>
  <c r="T7" i="107"/>
  <c r="E18" i="2"/>
  <c r="F25" i="55"/>
  <c r="S7" i="107"/>
  <c r="E17" i="2"/>
  <c r="F24" i="55"/>
  <c r="R7" i="107"/>
  <c r="E16" i="2"/>
  <c r="F23" i="55"/>
  <c r="Q7" i="107"/>
  <c r="P7" i="107"/>
  <c r="E14" i="2"/>
  <c r="F21" i="55"/>
  <c r="O7" i="107"/>
  <c r="E13" i="2"/>
  <c r="F20" i="55"/>
  <c r="N7" i="107"/>
  <c r="E12" i="2"/>
  <c r="F19" i="55"/>
  <c r="M7" i="107"/>
  <c r="E11" i="2"/>
  <c r="F18" i="55"/>
  <c r="L7" i="107"/>
  <c r="E10" i="2"/>
  <c r="F17" i="55"/>
  <c r="K7" i="107"/>
  <c r="J7" i="107"/>
  <c r="I7" i="107"/>
  <c r="H7" i="107"/>
  <c r="G7" i="107"/>
  <c r="E29" i="55"/>
  <c r="W6" i="107"/>
  <c r="D23" i="35"/>
  <c r="E28" i="55"/>
  <c r="V6" i="107"/>
  <c r="D22" i="35"/>
  <c r="E27" i="55"/>
  <c r="U6" i="107"/>
  <c r="D21" i="35"/>
  <c r="E26" i="55"/>
  <c r="T6" i="107"/>
  <c r="D20" i="35"/>
  <c r="E25" i="55"/>
  <c r="S6" i="107"/>
  <c r="D19" i="35"/>
  <c r="E24" i="55"/>
  <c r="R6" i="107"/>
  <c r="D18" i="35"/>
  <c r="E23" i="55"/>
  <c r="Q6" i="107"/>
  <c r="P6" i="107"/>
  <c r="O6" i="107"/>
  <c r="N6" i="107"/>
  <c r="M6" i="107"/>
  <c r="L6" i="107"/>
  <c r="K6" i="107"/>
  <c r="J6" i="107"/>
  <c r="I6" i="107"/>
  <c r="H6" i="107"/>
  <c r="G6" i="107"/>
  <c r="C22" i="4"/>
  <c r="D22" i="4"/>
  <c r="D29" i="55"/>
  <c r="W5" i="107"/>
  <c r="C21" i="4"/>
  <c r="D21" i="4"/>
  <c r="D28" i="55"/>
  <c r="V5" i="107"/>
  <c r="C20" i="4"/>
  <c r="D20" i="4"/>
  <c r="D27" i="55"/>
  <c r="U5" i="107"/>
  <c r="C19" i="4"/>
  <c r="D19" i="4"/>
  <c r="D26" i="55"/>
  <c r="T5" i="107"/>
  <c r="C18" i="4"/>
  <c r="D18" i="4"/>
  <c r="D25" i="55"/>
  <c r="S5" i="107"/>
  <c r="C17" i="4"/>
  <c r="D17" i="4"/>
  <c r="D24" i="55"/>
  <c r="R5" i="107"/>
  <c r="C16" i="4"/>
  <c r="D16" i="4"/>
  <c r="D23" i="55"/>
  <c r="Q5" i="107"/>
  <c r="P5" i="107"/>
  <c r="O5" i="107"/>
  <c r="N5" i="107"/>
  <c r="M5" i="107"/>
  <c r="L5" i="107"/>
  <c r="K5" i="107"/>
  <c r="J5" i="107"/>
  <c r="I5" i="107"/>
  <c r="H5" i="107"/>
  <c r="G5" i="107"/>
  <c r="G21" i="3"/>
  <c r="I21" i="3"/>
  <c r="C29" i="55"/>
  <c r="W4" i="107"/>
  <c r="G20" i="3"/>
  <c r="I20" i="3"/>
  <c r="C28" i="55"/>
  <c r="V4" i="107"/>
  <c r="G19" i="3"/>
  <c r="I19" i="3"/>
  <c r="C27" i="55"/>
  <c r="U4" i="107"/>
  <c r="G18" i="3"/>
  <c r="I18" i="3"/>
  <c r="C26" i="55"/>
  <c r="T4" i="107"/>
  <c r="F17" i="3"/>
  <c r="G17" i="3"/>
  <c r="I17" i="3"/>
  <c r="C25" i="55"/>
  <c r="S4" i="107"/>
  <c r="F16" i="3"/>
  <c r="G16" i="3"/>
  <c r="I16" i="3"/>
  <c r="C24" i="55"/>
  <c r="R4" i="107"/>
  <c r="F15" i="3"/>
  <c r="G15" i="3"/>
  <c r="I15" i="3"/>
  <c r="C23" i="55"/>
  <c r="Q4" i="107"/>
  <c r="P4" i="107"/>
  <c r="G13" i="3"/>
  <c r="I13" i="3"/>
  <c r="C21" i="55"/>
  <c r="O4" i="107"/>
  <c r="G12" i="3"/>
  <c r="I12" i="3"/>
  <c r="C20" i="55"/>
  <c r="N4" i="107"/>
  <c r="G11" i="3"/>
  <c r="I11" i="3"/>
  <c r="C19" i="55"/>
  <c r="M4" i="107"/>
  <c r="G10" i="3"/>
  <c r="I10" i="3"/>
  <c r="C18" i="55"/>
  <c r="L4" i="107"/>
  <c r="G9" i="3"/>
  <c r="I9" i="3"/>
  <c r="C17" i="55"/>
  <c r="K4" i="107"/>
  <c r="J4" i="107"/>
  <c r="I4" i="107"/>
  <c r="H4" i="107"/>
  <c r="G4" i="107"/>
  <c r="B9" i="55"/>
  <c r="F3" i="107"/>
  <c r="B29" i="55"/>
  <c r="W3" i="107"/>
  <c r="B28" i="55"/>
  <c r="V3" i="107"/>
  <c r="B27" i="55"/>
  <c r="U3" i="107"/>
  <c r="B26" i="55"/>
  <c r="T3" i="107"/>
  <c r="B25" i="55"/>
  <c r="S3" i="107"/>
  <c r="B24" i="55"/>
  <c r="R3" i="107"/>
  <c r="B23" i="55"/>
  <c r="Q3" i="107"/>
  <c r="P3" i="107"/>
  <c r="B21" i="55"/>
  <c r="O3" i="107"/>
  <c r="B20" i="55"/>
  <c r="N3" i="107"/>
  <c r="B19" i="55"/>
  <c r="M3" i="107"/>
  <c r="B18" i="55"/>
  <c r="L3" i="107"/>
  <c r="B17" i="55"/>
  <c r="K3" i="107"/>
  <c r="B16" i="55"/>
  <c r="J3" i="107"/>
  <c r="B15" i="55"/>
  <c r="I3" i="107"/>
  <c r="B14" i="55"/>
  <c r="H3" i="107"/>
  <c r="B13" i="55"/>
  <c r="G3" i="107"/>
  <c r="E63" i="73"/>
  <c r="E62" i="73"/>
  <c r="E61" i="73"/>
  <c r="E72" i="73"/>
  <c r="B42" i="107"/>
  <c r="E71" i="73"/>
  <c r="B41" i="107"/>
  <c r="E70" i="73"/>
  <c r="B40" i="107"/>
  <c r="E69" i="73"/>
  <c r="B39" i="107"/>
  <c r="E68" i="73"/>
  <c r="B38" i="107"/>
  <c r="E67" i="73"/>
  <c r="B37" i="107"/>
  <c r="E66" i="73"/>
  <c r="B36" i="107"/>
  <c r="B35" i="107"/>
  <c r="B34" i="107"/>
  <c r="B33" i="107"/>
  <c r="E59" i="73"/>
  <c r="B31" i="107"/>
  <c r="E58" i="73"/>
  <c r="B30" i="107"/>
  <c r="E57" i="73"/>
  <c r="B29" i="107"/>
  <c r="E56" i="73"/>
  <c r="B28" i="107"/>
  <c r="E55" i="73"/>
  <c r="B27" i="107"/>
  <c r="E54" i="73"/>
  <c r="B26" i="107"/>
  <c r="E53" i="73"/>
  <c r="B25" i="107"/>
  <c r="E50" i="73"/>
  <c r="B24" i="107"/>
  <c r="E49" i="73"/>
  <c r="B23" i="107"/>
  <c r="E48" i="73"/>
  <c r="B22" i="107"/>
  <c r="E47" i="73"/>
  <c r="B21" i="107"/>
  <c r="E46" i="73"/>
  <c r="B20" i="107"/>
  <c r="E45" i="73"/>
  <c r="B19" i="107"/>
  <c r="E43" i="73"/>
  <c r="B18" i="107"/>
  <c r="E42" i="73"/>
  <c r="B17" i="107"/>
  <c r="E41" i="73"/>
  <c r="B16" i="107"/>
  <c r="E40" i="73"/>
  <c r="B15" i="107"/>
  <c r="E39" i="73"/>
  <c r="B14" i="107"/>
  <c r="E38" i="73"/>
  <c r="B13" i="107"/>
  <c r="E37" i="73"/>
  <c r="B12" i="107"/>
  <c r="E36" i="73"/>
  <c r="B11" i="107"/>
  <c r="E35" i="73"/>
  <c r="B10" i="107"/>
  <c r="E34" i="73"/>
  <c r="B9" i="107"/>
  <c r="E31" i="73"/>
  <c r="B8" i="107"/>
  <c r="E30" i="73"/>
  <c r="B7" i="107"/>
  <c r="E29" i="73"/>
  <c r="B6" i="107"/>
  <c r="E28" i="73"/>
  <c r="B5" i="107"/>
  <c r="E27" i="73"/>
  <c r="B4" i="107"/>
  <c r="E26" i="73"/>
  <c r="B3" i="107"/>
  <c r="E42" i="107"/>
  <c r="D42" i="107"/>
  <c r="E41" i="107"/>
  <c r="D41" i="107"/>
  <c r="E40" i="107"/>
  <c r="D40" i="107"/>
  <c r="E39" i="107"/>
  <c r="D39" i="107"/>
  <c r="E38" i="107"/>
  <c r="D38" i="107"/>
  <c r="E37" i="107"/>
  <c r="D37" i="107"/>
  <c r="E36" i="107"/>
  <c r="D36" i="107"/>
  <c r="E35" i="107"/>
  <c r="D35" i="107"/>
  <c r="E34" i="107"/>
  <c r="D34" i="107"/>
  <c r="E33" i="107"/>
  <c r="D33" i="107"/>
  <c r="E32" i="107"/>
  <c r="D32" i="107"/>
  <c r="E31" i="107"/>
  <c r="D31" i="107"/>
  <c r="E30" i="107"/>
  <c r="D30" i="107"/>
  <c r="E29" i="107"/>
  <c r="D29" i="107"/>
  <c r="E28" i="107"/>
  <c r="D28" i="107"/>
  <c r="E27" i="107"/>
  <c r="D27" i="107"/>
  <c r="E26" i="107"/>
  <c r="D26" i="107"/>
  <c r="E25" i="107"/>
  <c r="D25" i="107"/>
  <c r="E24" i="107"/>
  <c r="D24" i="107"/>
  <c r="E23" i="107"/>
  <c r="D23" i="107"/>
  <c r="E22" i="107"/>
  <c r="D22" i="107"/>
  <c r="E21" i="107"/>
  <c r="D21" i="107"/>
  <c r="E20" i="107"/>
  <c r="D20" i="107"/>
  <c r="E19" i="107"/>
  <c r="D19" i="107"/>
  <c r="E18" i="107"/>
  <c r="D18" i="107"/>
  <c r="E17" i="107"/>
  <c r="D17" i="107"/>
  <c r="E16" i="107"/>
  <c r="D16" i="107"/>
  <c r="E15" i="107"/>
  <c r="D15" i="107"/>
  <c r="E14" i="107"/>
  <c r="D14" i="107"/>
  <c r="E13" i="107"/>
  <c r="D13" i="107"/>
  <c r="E12" i="107"/>
  <c r="D12" i="107"/>
  <c r="E11" i="107"/>
  <c r="D11" i="107"/>
  <c r="E10" i="107"/>
  <c r="D10" i="107"/>
  <c r="E9" i="107"/>
  <c r="D9" i="107"/>
  <c r="E8" i="107"/>
  <c r="D8" i="107"/>
  <c r="E7" i="107"/>
  <c r="D7" i="107"/>
  <c r="E6" i="107"/>
  <c r="D6" i="107"/>
  <c r="E5" i="107"/>
  <c r="D5" i="107"/>
  <c r="E4" i="107"/>
  <c r="D4" i="107"/>
  <c r="E3" i="107"/>
  <c r="D3" i="107"/>
  <c r="W45" i="107"/>
  <c r="V45" i="107"/>
  <c r="U45" i="107"/>
  <c r="T45" i="107"/>
  <c r="S45" i="107"/>
  <c r="R45" i="107"/>
  <c r="Q45" i="107"/>
  <c r="P45" i="107"/>
  <c r="O45" i="107"/>
  <c r="N45" i="107"/>
  <c r="M45" i="107"/>
  <c r="L45" i="107"/>
  <c r="K45" i="107"/>
  <c r="J45" i="107"/>
  <c r="I45" i="107"/>
  <c r="H45" i="107"/>
  <c r="G45" i="107"/>
  <c r="W44" i="107"/>
  <c r="V44" i="107"/>
  <c r="U44" i="107"/>
  <c r="T44" i="107"/>
  <c r="S44" i="107"/>
  <c r="R44" i="107"/>
  <c r="Q44" i="107"/>
  <c r="P44" i="107"/>
  <c r="O44" i="107"/>
  <c r="N44" i="107"/>
  <c r="M44" i="107"/>
  <c r="L44" i="107"/>
  <c r="K44" i="107"/>
  <c r="J44" i="107"/>
  <c r="I44" i="107"/>
  <c r="H44" i="107"/>
  <c r="G44" i="107"/>
  <c r="A4" i="107"/>
  <c r="A5" i="107"/>
  <c r="A6" i="107"/>
  <c r="A7" i="107"/>
  <c r="A8" i="107"/>
  <c r="A9" i="107"/>
  <c r="A10" i="107"/>
  <c r="A11" i="107"/>
  <c r="A12" i="107"/>
  <c r="A13" i="107"/>
  <c r="A14" i="107"/>
  <c r="A15" i="107"/>
  <c r="A16" i="107"/>
  <c r="A17" i="107"/>
  <c r="A18" i="107"/>
  <c r="A19" i="107"/>
  <c r="A20" i="107"/>
  <c r="A21" i="107"/>
  <c r="A22" i="107"/>
  <c r="A23" i="107"/>
  <c r="A24" i="107"/>
  <c r="A25" i="107"/>
  <c r="A26" i="107"/>
  <c r="A27" i="107"/>
  <c r="A28" i="107"/>
  <c r="A29" i="107"/>
  <c r="A30" i="107"/>
  <c r="A31" i="107"/>
  <c r="A32" i="107"/>
  <c r="A33" i="107"/>
  <c r="A34" i="107"/>
  <c r="A35" i="107"/>
  <c r="A36" i="107"/>
  <c r="A37" i="107"/>
  <c r="A38" i="107"/>
  <c r="A39" i="107"/>
  <c r="A40" i="107"/>
  <c r="A41" i="107"/>
  <c r="A42" i="107"/>
  <c r="N18" i="9"/>
  <c r="C8" i="105"/>
  <c r="C13" i="105"/>
  <c r="F11" i="105"/>
  <c r="C11" i="105"/>
  <c r="A3" i="105"/>
  <c r="D11" i="105"/>
  <c r="D13" i="105"/>
  <c r="D10" i="105"/>
  <c r="C8" i="55"/>
  <c r="D8" i="55"/>
  <c r="E8" i="55"/>
  <c r="F8" i="55"/>
  <c r="G8" i="55"/>
  <c r="H8" i="55"/>
  <c r="I8" i="55"/>
  <c r="J8" i="55"/>
  <c r="K8" i="55"/>
  <c r="L8" i="55"/>
  <c r="M8" i="55"/>
  <c r="N8" i="55"/>
  <c r="O8" i="55"/>
  <c r="P8" i="55"/>
  <c r="Q8" i="55"/>
  <c r="R8" i="55"/>
  <c r="S8" i="55"/>
  <c r="T8" i="55"/>
  <c r="U8" i="55"/>
  <c r="V8" i="55"/>
  <c r="W8" i="55"/>
  <c r="X8" i="55"/>
  <c r="Y8" i="55"/>
  <c r="Z8" i="55"/>
  <c r="AA8" i="55"/>
  <c r="AB8" i="55"/>
  <c r="AC8" i="55"/>
  <c r="AD8" i="55"/>
  <c r="AE8" i="55"/>
  <c r="AF8" i="55"/>
  <c r="AG8" i="55"/>
  <c r="AH8" i="55"/>
  <c r="AI8" i="55"/>
  <c r="AJ8" i="55"/>
  <c r="AK8" i="55"/>
  <c r="AL8" i="55"/>
  <c r="AM8" i="55"/>
  <c r="AN8" i="55"/>
  <c r="AO8" i="55"/>
  <c r="B11" i="55"/>
  <c r="E97" i="11"/>
  <c r="P16" i="9"/>
  <c r="B100" i="11"/>
  <c r="R19" i="9"/>
  <c r="B105" i="11"/>
  <c r="J37" i="55"/>
  <c r="D37" i="55"/>
  <c r="H34" i="55"/>
  <c r="I34" i="55"/>
  <c r="J34" i="55"/>
  <c r="K34" i="55"/>
  <c r="G35" i="55"/>
  <c r="G36" i="55"/>
  <c r="G37" i="55"/>
  <c r="G38" i="55"/>
  <c r="G39" i="55"/>
  <c r="G42" i="55"/>
  <c r="G43" i="55"/>
  <c r="G44" i="55"/>
  <c r="G45" i="55"/>
  <c r="G46" i="55"/>
  <c r="B102" i="11"/>
  <c r="N19" i="9"/>
  <c r="F8" i="89"/>
  <c r="A200" i="19"/>
  <c r="A216" i="19"/>
  <c r="A232" i="19"/>
  <c r="A248" i="19"/>
  <c r="A264" i="19"/>
  <c r="A280" i="19"/>
  <c r="A296" i="19"/>
  <c r="A312" i="19"/>
  <c r="A328" i="19"/>
  <c r="A344" i="19"/>
  <c r="A360" i="19"/>
  <c r="A376" i="19"/>
  <c r="A392" i="19"/>
  <c r="A408" i="19"/>
  <c r="A424" i="19"/>
  <c r="A440" i="19"/>
  <c r="A456" i="19"/>
  <c r="A472" i="19"/>
  <c r="A488" i="19"/>
  <c r="A504" i="19"/>
  <c r="A520" i="19"/>
  <c r="A536" i="19"/>
  <c r="A552" i="19"/>
  <c r="A568" i="19"/>
  <c r="A584" i="19"/>
  <c r="A600" i="19"/>
  <c r="A616" i="19"/>
  <c r="A632" i="19"/>
  <c r="A648" i="19"/>
  <c r="A664" i="19"/>
  <c r="A680" i="19"/>
  <c r="A696" i="19"/>
  <c r="A712" i="19"/>
  <c r="A728" i="19"/>
  <c r="A744" i="19"/>
  <c r="K176" i="19"/>
  <c r="J176" i="19"/>
  <c r="I176" i="19"/>
  <c r="H176" i="19"/>
  <c r="G176" i="19"/>
  <c r="F176" i="19"/>
  <c r="E176" i="19"/>
  <c r="D176" i="19"/>
  <c r="C176" i="19"/>
  <c r="B176" i="19"/>
  <c r="K194" i="22"/>
  <c r="J194" i="22"/>
  <c r="I194" i="22"/>
  <c r="H194" i="22"/>
  <c r="G194" i="22"/>
  <c r="F194" i="22"/>
  <c r="E194" i="22"/>
  <c r="D194" i="22"/>
  <c r="C194" i="22"/>
  <c r="B194" i="22"/>
  <c r="J214" i="21"/>
  <c r="I214" i="21"/>
  <c r="H214" i="21"/>
  <c r="G214" i="21"/>
  <c r="F214" i="21"/>
  <c r="E214" i="21"/>
  <c r="D214" i="21"/>
  <c r="C214" i="21"/>
  <c r="B214" i="21"/>
  <c r="K214" i="21"/>
  <c r="AA36" i="19"/>
  <c r="B41" i="57"/>
  <c r="B38" i="55"/>
  <c r="H38" i="55"/>
  <c r="E31" i="36"/>
  <c r="E33" i="36"/>
  <c r="E32" i="36"/>
  <c r="E24" i="36"/>
  <c r="E25" i="36"/>
  <c r="E60" i="36"/>
  <c r="E59" i="36"/>
  <c r="E58" i="36"/>
  <c r="E57" i="36"/>
  <c r="E56" i="36"/>
  <c r="E55" i="36"/>
  <c r="E54" i="36"/>
  <c r="E53" i="36"/>
  <c r="E52" i="36"/>
  <c r="E61" i="36"/>
  <c r="J56" i="57"/>
  <c r="J55" i="57"/>
  <c r="J54" i="57"/>
  <c r="J57" i="57"/>
  <c r="H72" i="61"/>
  <c r="I72" i="61"/>
  <c r="G72" i="61"/>
  <c r="F72" i="61"/>
  <c r="E72" i="61"/>
  <c r="D72" i="61"/>
  <c r="K75" i="61"/>
  <c r="K74" i="61"/>
  <c r="K73" i="61"/>
  <c r="K72" i="61"/>
  <c r="I39" i="101"/>
  <c r="I38" i="101"/>
  <c r="I30" i="101"/>
  <c r="I37" i="101"/>
  <c r="I36" i="101"/>
  <c r="V11" i="55"/>
  <c r="D27" i="102"/>
  <c r="E27" i="102"/>
  <c r="W27" i="55"/>
  <c r="AO11" i="55"/>
  <c r="T11" i="55"/>
  <c r="A34" i="103"/>
  <c r="A35" i="103"/>
  <c r="A36" i="103"/>
  <c r="A37" i="103"/>
  <c r="A38" i="103"/>
  <c r="A39" i="103"/>
  <c r="A40" i="103"/>
  <c r="A41" i="103"/>
  <c r="A42" i="103"/>
  <c r="A4" i="103"/>
  <c r="A3" i="103"/>
  <c r="A2" i="103"/>
  <c r="D26" i="102"/>
  <c r="E26" i="102"/>
  <c r="D25" i="102"/>
  <c r="E25" i="102"/>
  <c r="D24" i="102"/>
  <c r="E24" i="102"/>
  <c r="D23" i="102"/>
  <c r="E23" i="102"/>
  <c r="D22" i="102"/>
  <c r="E22" i="102"/>
  <c r="D21" i="102"/>
  <c r="E21" i="102"/>
  <c r="D20" i="102"/>
  <c r="E20" i="102"/>
  <c r="D28" i="97"/>
  <c r="D27" i="97"/>
  <c r="D26" i="97"/>
  <c r="D25" i="97"/>
  <c r="D24" i="97"/>
  <c r="E24" i="97"/>
  <c r="D23" i="97"/>
  <c r="E23" i="97"/>
  <c r="D22" i="97"/>
  <c r="E22" i="97"/>
  <c r="D21" i="97"/>
  <c r="E21" i="97"/>
  <c r="D20" i="97"/>
  <c r="E20" i="97"/>
  <c r="D19" i="97"/>
  <c r="E19" i="97"/>
  <c r="E19" i="41"/>
  <c r="C19" i="41"/>
  <c r="B19" i="41"/>
  <c r="C8" i="89"/>
  <c r="I37" i="55"/>
  <c r="H36" i="55"/>
  <c r="J38" i="55"/>
  <c r="F11" i="89"/>
  <c r="F11" i="55"/>
  <c r="C11" i="55"/>
  <c r="E11" i="55"/>
  <c r="D11" i="55"/>
  <c r="P11" i="55"/>
  <c r="R11" i="55"/>
  <c r="Q11" i="55"/>
  <c r="G11" i="55"/>
  <c r="O11" i="55"/>
  <c r="N11" i="55"/>
  <c r="L11" i="55"/>
  <c r="M11" i="55"/>
  <c r="S11" i="55"/>
  <c r="AN11" i="55"/>
  <c r="H11" i="55"/>
  <c r="AM11" i="55"/>
  <c r="K11" i="55"/>
  <c r="AL11" i="55"/>
  <c r="Z11" i="55"/>
  <c r="AA11" i="55"/>
  <c r="X11" i="55"/>
  <c r="AD11" i="55"/>
  <c r="J11" i="55"/>
  <c r="I11" i="55"/>
  <c r="Y11" i="55"/>
  <c r="AB11" i="55"/>
  <c r="AE11" i="55"/>
  <c r="AC11" i="55"/>
  <c r="AI11" i="55"/>
  <c r="AK11" i="55"/>
  <c r="AJ11" i="55"/>
  <c r="C37" i="55"/>
  <c r="B36" i="55"/>
  <c r="L19" i="9"/>
  <c r="F8" i="30"/>
  <c r="E8" i="30"/>
  <c r="X19" i="9"/>
  <c r="AB18" i="9"/>
  <c r="AB19" i="9"/>
  <c r="C112" i="11"/>
  <c r="B112" i="11"/>
  <c r="B55" i="11"/>
  <c r="U19" i="9"/>
  <c r="N10" i="9"/>
  <c r="N11" i="9"/>
  <c r="N12" i="9"/>
  <c r="L10" i="9"/>
  <c r="L11" i="9"/>
  <c r="L12" i="9"/>
  <c r="I10" i="9"/>
  <c r="I11" i="9"/>
  <c r="I12" i="9"/>
  <c r="G10" i="9"/>
  <c r="G11" i="9"/>
  <c r="G12" i="9"/>
  <c r="K104" i="11"/>
  <c r="J104" i="11"/>
  <c r="I104" i="11"/>
  <c r="K103" i="11"/>
  <c r="J103" i="11"/>
  <c r="I103" i="11"/>
  <c r="K100" i="11"/>
  <c r="J100" i="11"/>
  <c r="I100" i="11"/>
  <c r="K97" i="11"/>
  <c r="J97" i="11"/>
  <c r="I97" i="11"/>
  <c r="I94" i="11"/>
  <c r="J94" i="11"/>
  <c r="K94" i="11"/>
  <c r="B97" i="11"/>
  <c r="P19" i="9"/>
  <c r="O19" i="9"/>
  <c r="M19" i="9"/>
  <c r="B101" i="11"/>
  <c r="I19" i="9"/>
  <c r="H19" i="9"/>
  <c r="G19" i="9"/>
  <c r="B31" i="11"/>
  <c r="B19" i="9"/>
  <c r="C32" i="11"/>
  <c r="D19" i="9"/>
  <c r="L53" i="11"/>
  <c r="N53" i="11"/>
  <c r="D53" i="11"/>
  <c r="D54" i="11"/>
  <c r="C10" i="89"/>
  <c r="B33" i="11"/>
  <c r="B86" i="11"/>
  <c r="B88" i="11"/>
  <c r="B58" i="11"/>
  <c r="H97" i="11"/>
  <c r="G97" i="11"/>
  <c r="F97" i="11"/>
  <c r="D97" i="11"/>
  <c r="C97" i="11"/>
  <c r="H100" i="11"/>
  <c r="G100" i="11"/>
  <c r="F100" i="11"/>
  <c r="E100" i="11"/>
  <c r="D100" i="11"/>
  <c r="C100" i="11"/>
  <c r="H103" i="11"/>
  <c r="G103" i="11"/>
  <c r="F103" i="11"/>
  <c r="E103" i="11"/>
  <c r="D103" i="11"/>
  <c r="C103" i="11"/>
  <c r="B103" i="11"/>
  <c r="U11" i="55"/>
  <c r="W11" i="55"/>
  <c r="AF11" i="55"/>
  <c r="AG11" i="55"/>
  <c r="AH11" i="55"/>
  <c r="AY14" i="55"/>
  <c r="F19" i="90"/>
  <c r="A3" i="102"/>
  <c r="A3" i="101"/>
  <c r="A2" i="97"/>
  <c r="A3" i="96"/>
  <c r="A3" i="100"/>
  <c r="A3" i="99"/>
  <c r="A3" i="98"/>
  <c r="B104" i="11"/>
  <c r="C31" i="11"/>
  <c r="C86" i="11"/>
  <c r="AD19" i="9"/>
  <c r="Z19" i="9"/>
  <c r="W19" i="9"/>
  <c r="T19" i="9"/>
  <c r="K19" i="9"/>
  <c r="J19" i="9"/>
  <c r="E19" i="9"/>
  <c r="C19" i="9"/>
  <c r="A5" i="70"/>
  <c r="A5" i="42"/>
  <c r="F63" i="42"/>
  <c r="D40" i="63"/>
  <c r="D38" i="63"/>
  <c r="C41" i="63"/>
  <c r="C25" i="1"/>
  <c r="C26" i="1"/>
  <c r="D26" i="1"/>
  <c r="K57" i="57"/>
  <c r="D44" i="61"/>
  <c r="A36" i="14"/>
  <c r="A37" i="14"/>
  <c r="A38" i="14"/>
  <c r="A39" i="14"/>
  <c r="A40" i="14"/>
  <c r="A41" i="14"/>
  <c r="A11" i="2"/>
  <c r="A12" i="2"/>
  <c r="A13" i="2"/>
  <c r="A14" i="2"/>
  <c r="A15" i="2"/>
  <c r="A16" i="2"/>
  <c r="A17" i="2"/>
  <c r="A18" i="2"/>
  <c r="A19" i="2"/>
  <c r="A20" i="2"/>
  <c r="A21" i="2"/>
  <c r="A22" i="2"/>
  <c r="A11" i="9"/>
  <c r="A12" i="9"/>
  <c r="A13" i="9"/>
  <c r="A14" i="9"/>
  <c r="A15" i="9"/>
  <c r="A16" i="9"/>
  <c r="A17" i="9"/>
  <c r="A18" i="9"/>
  <c r="A19" i="9"/>
  <c r="G18" i="9"/>
  <c r="C11" i="89"/>
  <c r="C13" i="89"/>
  <c r="D10" i="89"/>
  <c r="D11" i="89"/>
  <c r="D13" i="89"/>
  <c r="F18" i="90"/>
  <c r="N17" i="9"/>
  <c r="F17" i="90"/>
  <c r="N16" i="9"/>
  <c r="F16" i="90"/>
  <c r="N15" i="9"/>
  <c r="F15" i="90"/>
  <c r="N14" i="9"/>
  <c r="F14" i="90"/>
  <c r="N13" i="9"/>
  <c r="F13" i="90"/>
  <c r="F12" i="90"/>
  <c r="F11" i="90"/>
  <c r="F10" i="90"/>
  <c r="C9" i="90"/>
  <c r="D9" i="90"/>
  <c r="A14" i="55"/>
  <c r="A15" i="55"/>
  <c r="A16" i="55"/>
  <c r="A17" i="55"/>
  <c r="AM9" i="55"/>
  <c r="AZ19" i="55"/>
  <c r="AZ18" i="55"/>
  <c r="AZ17" i="55"/>
  <c r="AZ16" i="55"/>
  <c r="AZ15" i="55"/>
  <c r="AZ14" i="55"/>
  <c r="AZ13" i="55"/>
  <c r="L8" i="56"/>
  <c r="G10" i="56"/>
  <c r="G11" i="56"/>
  <c r="G12" i="56"/>
  <c r="G13" i="56"/>
  <c r="G14" i="56"/>
  <c r="G15" i="56"/>
  <c r="K8" i="56"/>
  <c r="J8" i="56"/>
  <c r="L18" i="9"/>
  <c r="B41" i="63"/>
  <c r="D41" i="61"/>
  <c r="D42" i="61"/>
  <c r="D43" i="61"/>
  <c r="K56" i="57"/>
  <c r="K55" i="57"/>
  <c r="K54" i="57"/>
  <c r="H9" i="90"/>
  <c r="G9" i="90"/>
  <c r="E23" i="73"/>
  <c r="A3" i="11"/>
  <c r="E22" i="73"/>
  <c r="A3" i="9"/>
  <c r="E20" i="73"/>
  <c r="A3" i="55"/>
  <c r="E19" i="73"/>
  <c r="A3" i="56"/>
  <c r="E16" i="73"/>
  <c r="A3" i="89"/>
  <c r="E14" i="73"/>
  <c r="A3" i="90"/>
  <c r="E13" i="73"/>
  <c r="A3" i="30"/>
  <c r="E12" i="73"/>
  <c r="A3" i="75"/>
  <c r="E11" i="73"/>
  <c r="A3" i="7"/>
  <c r="E18" i="73"/>
  <c r="E15" i="73"/>
  <c r="A3" i="5"/>
  <c r="A3" i="72"/>
  <c r="A3" i="66"/>
  <c r="A3" i="58"/>
  <c r="A4" i="58"/>
  <c r="A3" i="51"/>
  <c r="A2" i="38"/>
  <c r="A3" i="62"/>
  <c r="A3" i="20"/>
  <c r="A3" i="43"/>
  <c r="A3" i="37"/>
  <c r="A3" i="22"/>
  <c r="A3" i="21"/>
  <c r="A3" i="25"/>
  <c r="A3" i="19"/>
  <c r="A3" i="63"/>
  <c r="A3" i="68"/>
  <c r="A3" i="26"/>
  <c r="A3" i="69"/>
  <c r="A3" i="15"/>
  <c r="A3" i="14"/>
  <c r="A3" i="61"/>
  <c r="A3" i="57"/>
  <c r="A4" i="36"/>
  <c r="A3" i="36"/>
  <c r="A3" i="42"/>
  <c r="A3" i="70"/>
  <c r="A3" i="41"/>
  <c r="A2" i="8"/>
  <c r="A3" i="2"/>
  <c r="A3" i="35"/>
  <c r="A3" i="4"/>
  <c r="A3" i="3"/>
  <c r="A3" i="1"/>
  <c r="A4" i="72"/>
  <c r="A4" i="66"/>
  <c r="A4" i="51"/>
  <c r="A3" i="38"/>
  <c r="A4" i="62"/>
  <c r="A4" i="20"/>
  <c r="A4" i="43"/>
  <c r="A4" i="37"/>
  <c r="A4" i="22"/>
  <c r="A4" i="21"/>
  <c r="A4" i="25"/>
  <c r="A4" i="19"/>
  <c r="A4" i="63"/>
  <c r="A4" i="68"/>
  <c r="A4" i="26"/>
  <c r="A4" i="69"/>
  <c r="A4" i="15"/>
  <c r="A4" i="14"/>
  <c r="A4" i="61"/>
  <c r="A4" i="57"/>
  <c r="A4" i="42"/>
  <c r="A4" i="70"/>
  <c r="A4" i="5"/>
  <c r="A4" i="41"/>
  <c r="A3" i="8"/>
  <c r="A4" i="2"/>
  <c r="A4" i="35"/>
  <c r="A4" i="4"/>
  <c r="A4" i="3"/>
  <c r="A4" i="1"/>
  <c r="A5" i="72"/>
  <c r="A5" i="66"/>
  <c r="A5" i="58"/>
  <c r="A5" i="51"/>
  <c r="A4" i="38"/>
  <c r="A5" i="62"/>
  <c r="A5" i="20"/>
  <c r="A5" i="43"/>
  <c r="A5" i="37"/>
  <c r="A5" i="22"/>
  <c r="A5" i="21"/>
  <c r="A5" i="25"/>
  <c r="A5" i="19"/>
  <c r="A5" i="63"/>
  <c r="A5" i="68"/>
  <c r="A5" i="26"/>
  <c r="A5" i="69"/>
  <c r="A5" i="15"/>
  <c r="A5" i="14"/>
  <c r="A5" i="61"/>
  <c r="A5" i="57"/>
  <c r="A5" i="36"/>
  <c r="A5" i="5"/>
  <c r="A5" i="41"/>
  <c r="A4" i="8"/>
  <c r="A5" i="2"/>
  <c r="A5" i="35"/>
  <c r="A5" i="4"/>
  <c r="A5" i="3"/>
  <c r="D52" i="73"/>
  <c r="D65" i="73"/>
  <c r="D33" i="73"/>
  <c r="E64" i="73"/>
  <c r="D74" i="73"/>
  <c r="F8" i="56"/>
  <c r="A10" i="56"/>
  <c r="A11" i="56"/>
  <c r="A12" i="56"/>
  <c r="A13" i="56"/>
  <c r="A14" i="56"/>
  <c r="A15" i="56"/>
  <c r="E8" i="56"/>
  <c r="D8" i="56"/>
  <c r="E84" i="20"/>
  <c r="E85" i="20"/>
  <c r="E86" i="20"/>
  <c r="E87" i="20"/>
  <c r="E88" i="20"/>
  <c r="E89" i="20"/>
  <c r="E90" i="20"/>
  <c r="E91" i="20"/>
  <c r="E92" i="20"/>
  <c r="E93" i="20"/>
  <c r="E94" i="20"/>
  <c r="E95" i="20"/>
  <c r="E120" i="20"/>
  <c r="D84" i="20"/>
  <c r="D85" i="20"/>
  <c r="D86" i="20"/>
  <c r="D87" i="20"/>
  <c r="D88" i="20"/>
  <c r="D89" i="20"/>
  <c r="D90" i="20"/>
  <c r="D91" i="20"/>
  <c r="D92" i="20"/>
  <c r="D93" i="20"/>
  <c r="D94" i="20"/>
  <c r="D95" i="20"/>
  <c r="D120" i="20"/>
  <c r="C84" i="20"/>
  <c r="C85" i="20"/>
  <c r="C86" i="20"/>
  <c r="C87" i="20"/>
  <c r="C88" i="20"/>
  <c r="C89" i="20"/>
  <c r="C90" i="20"/>
  <c r="C91" i="20"/>
  <c r="C92" i="20"/>
  <c r="C93" i="20"/>
  <c r="C94" i="20"/>
  <c r="C95" i="20"/>
  <c r="C120" i="20"/>
  <c r="B87" i="20"/>
  <c r="B120" i="20"/>
  <c r="F120" i="20"/>
  <c r="G120" i="20"/>
  <c r="K120" i="20"/>
  <c r="J120" i="20"/>
  <c r="I120" i="20"/>
  <c r="H120" i="20"/>
  <c r="O120" i="20"/>
  <c r="N120" i="20"/>
  <c r="M120" i="20"/>
  <c r="L120" i="20"/>
  <c r="D79" i="73"/>
  <c r="D80" i="73"/>
  <c r="D78" i="73"/>
  <c r="D31" i="11"/>
  <c r="B18" i="9"/>
  <c r="D25" i="1"/>
  <c r="F30" i="11"/>
  <c r="F31" i="11"/>
  <c r="B17" i="9"/>
  <c r="C113" i="61"/>
  <c r="C112" i="61"/>
  <c r="B108" i="61"/>
  <c r="B109" i="61"/>
  <c r="B110" i="61"/>
  <c r="B111" i="61"/>
  <c r="B113" i="61"/>
  <c r="B112" i="61"/>
  <c r="K71" i="61"/>
  <c r="K70" i="61"/>
  <c r="K69" i="61"/>
  <c r="K68" i="61"/>
  <c r="K67" i="61"/>
  <c r="K66" i="61"/>
  <c r="K65" i="61"/>
  <c r="K64" i="61"/>
  <c r="K63" i="61"/>
  <c r="K62" i="61"/>
  <c r="K61" i="61"/>
  <c r="K60" i="61"/>
  <c r="K59" i="61"/>
  <c r="K58" i="61"/>
  <c r="K57" i="61"/>
  <c r="K56" i="61"/>
  <c r="I18" i="9"/>
  <c r="P88" i="11"/>
  <c r="N88" i="11"/>
  <c r="L88" i="11"/>
  <c r="J88" i="11"/>
  <c r="H31" i="11"/>
  <c r="D86" i="11"/>
  <c r="D88" i="11"/>
  <c r="F88" i="11"/>
  <c r="D16" i="35"/>
  <c r="D15" i="35"/>
  <c r="A22" i="35"/>
  <c r="A21" i="35"/>
  <c r="A20" i="35"/>
  <c r="A19" i="35"/>
  <c r="A18" i="35"/>
  <c r="A17" i="35"/>
  <c r="A16" i="35"/>
  <c r="A15" i="35"/>
  <c r="A14" i="35"/>
  <c r="A13" i="35"/>
  <c r="A12" i="35"/>
  <c r="A11" i="35"/>
  <c r="A10" i="35"/>
  <c r="A17" i="8"/>
  <c r="A16" i="8"/>
  <c r="A15" i="8"/>
  <c r="A14" i="8"/>
  <c r="A13" i="8"/>
  <c r="A12" i="8"/>
  <c r="A19" i="3"/>
  <c r="A18" i="3"/>
  <c r="A17" i="3"/>
  <c r="A16" i="3"/>
  <c r="A15" i="3"/>
  <c r="A14" i="3"/>
  <c r="A13" i="3"/>
  <c r="A12" i="3"/>
  <c r="A11" i="3"/>
  <c r="A10" i="3"/>
  <c r="A9" i="3"/>
  <c r="R30" i="11"/>
  <c r="D18" i="9"/>
  <c r="E18" i="9"/>
  <c r="D16" i="9"/>
  <c r="B15" i="9"/>
  <c r="B14" i="9"/>
  <c r="B13" i="9"/>
  <c r="D13" i="9"/>
  <c r="C13" i="9"/>
  <c r="B12" i="9"/>
  <c r="D12" i="9"/>
  <c r="E12" i="9"/>
  <c r="B11" i="9"/>
  <c r="B10" i="9"/>
  <c r="A22" i="15"/>
  <c r="A23" i="15"/>
  <c r="A24" i="15"/>
  <c r="A25" i="15"/>
  <c r="A26" i="15"/>
  <c r="A27" i="15"/>
  <c r="A28" i="15"/>
  <c r="P17" i="9"/>
  <c r="P15" i="9"/>
  <c r="P14" i="9"/>
  <c r="P13" i="9"/>
  <c r="P12" i="9"/>
  <c r="P11" i="9"/>
  <c r="P18" i="9"/>
  <c r="O17" i="9"/>
  <c r="AD17" i="9"/>
  <c r="O16" i="9"/>
  <c r="T16" i="9"/>
  <c r="O15" i="9"/>
  <c r="T15" i="9"/>
  <c r="O14" i="9"/>
  <c r="O13" i="9"/>
  <c r="AD13" i="9"/>
  <c r="O12" i="9"/>
  <c r="O11" i="9"/>
  <c r="O18" i="9"/>
  <c r="AD18" i="9"/>
  <c r="I17" i="9"/>
  <c r="D17" i="9"/>
  <c r="C17" i="9"/>
  <c r="I16" i="9"/>
  <c r="I15" i="9"/>
  <c r="I14" i="9"/>
  <c r="D14" i="9"/>
  <c r="K14" i="9"/>
  <c r="I13" i="9"/>
  <c r="K13" i="9"/>
  <c r="J12" i="9"/>
  <c r="AD16" i="9"/>
  <c r="AD14" i="9"/>
  <c r="X18" i="9"/>
  <c r="X17" i="9"/>
  <c r="G17" i="9"/>
  <c r="J17" i="9"/>
  <c r="X16" i="9"/>
  <c r="G16" i="9"/>
  <c r="Z16" i="9"/>
  <c r="X15" i="9"/>
  <c r="G15" i="9"/>
  <c r="Z15" i="9"/>
  <c r="J15" i="9"/>
  <c r="G14" i="9"/>
  <c r="X13" i="9"/>
  <c r="G13" i="9"/>
  <c r="Z13" i="9"/>
  <c r="X12" i="9"/>
  <c r="Z12" i="9"/>
  <c r="U15" i="9"/>
  <c r="W15" i="9"/>
  <c r="H54" i="11"/>
  <c r="U16" i="9"/>
  <c r="W16" i="9"/>
  <c r="U17" i="9"/>
  <c r="U18" i="9"/>
  <c r="W18" i="9"/>
  <c r="T18" i="9"/>
  <c r="P10" i="9"/>
  <c r="O10" i="9"/>
  <c r="M10" i="9"/>
  <c r="M11" i="9"/>
  <c r="M12" i="9"/>
  <c r="M13" i="9"/>
  <c r="L13" i="9"/>
  <c r="M14" i="9"/>
  <c r="L14" i="9"/>
  <c r="M15" i="9"/>
  <c r="L15" i="9"/>
  <c r="M16" i="9"/>
  <c r="L16" i="9"/>
  <c r="M17" i="9"/>
  <c r="L17" i="9"/>
  <c r="M18" i="9"/>
  <c r="H18" i="9"/>
  <c r="H17" i="9"/>
  <c r="H16" i="9"/>
  <c r="H15" i="9"/>
  <c r="H14" i="9"/>
  <c r="H13" i="9"/>
  <c r="H12" i="9"/>
  <c r="D15" i="9"/>
  <c r="C15" i="9"/>
  <c r="C14" i="9"/>
  <c r="E13" i="9"/>
  <c r="D11" i="9"/>
  <c r="D10" i="9"/>
  <c r="C10" i="9"/>
  <c r="J11" i="9"/>
  <c r="H11" i="9"/>
  <c r="H10" i="9"/>
  <c r="E10" i="9"/>
  <c r="H104" i="11"/>
  <c r="G104" i="11"/>
  <c r="F104" i="11"/>
  <c r="E104" i="11"/>
  <c r="D104" i="11"/>
  <c r="C104" i="11"/>
  <c r="O58" i="11"/>
  <c r="M58" i="11"/>
  <c r="K54" i="11"/>
  <c r="K58" i="11"/>
  <c r="J58" i="11"/>
  <c r="H58" i="11"/>
  <c r="P30" i="11"/>
  <c r="N30" i="11"/>
  <c r="I30" i="11"/>
  <c r="A11" i="1"/>
  <c r="A12" i="1"/>
  <c r="A13" i="1"/>
  <c r="A14" i="1"/>
  <c r="A15" i="1"/>
  <c r="A16" i="1"/>
  <c r="A17" i="1"/>
  <c r="A18" i="1"/>
  <c r="A19" i="1"/>
  <c r="A20" i="1"/>
  <c r="A21" i="1"/>
  <c r="A22" i="1"/>
  <c r="A23" i="1"/>
  <c r="A24" i="1"/>
  <c r="A25" i="1"/>
  <c r="J16" i="9"/>
  <c r="E14" i="9"/>
  <c r="C18" i="9"/>
  <c r="C12" i="9"/>
  <c r="K16" i="9"/>
  <c r="K18" i="9"/>
  <c r="F58" i="11"/>
  <c r="E15" i="9"/>
  <c r="AD15" i="9"/>
  <c r="K12" i="9"/>
  <c r="K15" i="9"/>
  <c r="Z14" i="9"/>
  <c r="H88" i="11"/>
  <c r="B16" i="9"/>
  <c r="J13" i="9"/>
  <c r="E16" i="9"/>
  <c r="C16" i="9"/>
  <c r="K11" i="9"/>
  <c r="C11" i="9"/>
  <c r="K17" i="9"/>
  <c r="J18" i="9"/>
  <c r="W17" i="9"/>
  <c r="E17" i="9"/>
  <c r="E11" i="9"/>
  <c r="T17" i="9"/>
  <c r="K10" i="9"/>
  <c r="J10" i="9"/>
  <c r="D58" i="11"/>
  <c r="D33" i="11"/>
  <c r="Z17" i="9"/>
  <c r="J14" i="9"/>
  <c r="Z18" i="9"/>
  <c r="A5" i="1"/>
  <c r="C9" i="55"/>
  <c r="A18" i="55"/>
  <c r="A19" i="55"/>
  <c r="A20" i="55"/>
  <c r="A21" i="55"/>
  <c r="A22" i="55"/>
  <c r="D9" i="55"/>
  <c r="E9" i="55"/>
  <c r="F9" i="55"/>
  <c r="G9" i="55"/>
  <c r="A23" i="55"/>
  <c r="A24" i="55"/>
  <c r="A25" i="55"/>
  <c r="A26" i="55"/>
  <c r="A27" i="55"/>
  <c r="A28" i="55"/>
  <c r="H9" i="55"/>
  <c r="I9" i="55"/>
  <c r="J9" i="55"/>
  <c r="L9" i="55"/>
  <c r="M9" i="55"/>
  <c r="N9" i="55"/>
  <c r="O9" i="55"/>
  <c r="P9" i="55"/>
  <c r="Q9" i="55"/>
  <c r="R9" i="55"/>
  <c r="S9" i="55"/>
  <c r="AC9" i="55"/>
  <c r="AD9" i="55"/>
  <c r="AE9" i="55"/>
  <c r="AI9" i="55"/>
  <c r="AJ9" i="55"/>
  <c r="AK9" i="55"/>
  <c r="AL9" i="55"/>
  <c r="AN9" i="55"/>
  <c r="C10" i="90"/>
  <c r="D19" i="90"/>
  <c r="C19" i="90"/>
  <c r="D18" i="90"/>
  <c r="C18" i="90"/>
  <c r="AZ23" i="55"/>
  <c r="AZ20" i="55"/>
  <c r="AZ21" i="55"/>
  <c r="AZ22" i="55"/>
  <c r="AT29" i="55"/>
  <c r="AS28" i="55"/>
  <c r="AS29" i="55"/>
  <c r="AT28" i="55"/>
  <c r="B35" i="55"/>
  <c r="AY29" i="55"/>
  <c r="AR29" i="55"/>
  <c r="B37" i="55"/>
  <c r="H37" i="55"/>
  <c r="J36" i="55"/>
  <c r="BA28" i="55"/>
  <c r="H35" i="55"/>
  <c r="AR28" i="55"/>
  <c r="AY28" i="55"/>
  <c r="D36" i="55"/>
  <c r="AY22" i="55"/>
  <c r="AY20" i="55"/>
  <c r="AY24" i="55"/>
  <c r="K36" i="55"/>
  <c r="AY16" i="55"/>
  <c r="AY26" i="55"/>
  <c r="AY21" i="55"/>
  <c r="AY23" i="55"/>
  <c r="BA16" i="55"/>
  <c r="AY25" i="55"/>
  <c r="AY13" i="55"/>
  <c r="AY15" i="55"/>
  <c r="AZ24" i="55"/>
  <c r="AZ25" i="55"/>
  <c r="AZ26" i="55"/>
  <c r="BA20" i="55"/>
  <c r="AY17" i="55"/>
  <c r="BA24" i="55"/>
  <c r="AR15" i="55"/>
  <c r="AY18" i="55"/>
  <c r="AY19" i="55"/>
  <c r="BA26" i="55"/>
  <c r="AS15" i="55"/>
  <c r="BA14" i="55"/>
  <c r="BA18" i="55"/>
  <c r="BA22" i="55"/>
  <c r="BA27" i="55"/>
  <c r="AS13" i="55"/>
  <c r="AT15" i="55"/>
  <c r="AT16" i="55"/>
  <c r="AT17" i="55"/>
  <c r="AT18" i="55"/>
  <c r="AU14" i="55"/>
  <c r="AU16" i="55"/>
  <c r="AU18" i="55"/>
  <c r="AS17" i="55"/>
  <c r="BA13" i="55"/>
  <c r="BA15" i="55"/>
  <c r="BA17" i="55"/>
  <c r="BA19" i="55"/>
  <c r="BA21" i="55"/>
  <c r="BA23" i="55"/>
  <c r="BA25" i="55"/>
  <c r="AS18" i="55"/>
  <c r="AR13" i="55"/>
  <c r="AR17" i="55"/>
  <c r="AS14" i="55"/>
  <c r="AR14" i="55"/>
  <c r="AR16" i="55"/>
  <c r="AR18" i="55"/>
  <c r="AT13" i="55"/>
  <c r="AT14" i="55"/>
  <c r="AS16" i="55"/>
  <c r="AP14" i="55"/>
  <c r="AP16" i="55"/>
  <c r="AP18" i="55"/>
  <c r="AS27" i="55"/>
  <c r="AT26" i="55"/>
  <c r="AT25" i="55"/>
  <c r="AT24" i="55"/>
  <c r="AT23" i="55"/>
  <c r="AT21" i="55"/>
  <c r="AT20" i="55"/>
  <c r="AT19" i="55"/>
  <c r="AS26" i="55"/>
  <c r="AU26" i="55"/>
  <c r="AS25" i="55"/>
  <c r="AU25" i="55"/>
  <c r="AS24" i="55"/>
  <c r="AU24" i="55"/>
  <c r="AS23" i="55"/>
  <c r="AU23" i="55"/>
  <c r="AS21" i="55"/>
  <c r="AU21" i="55"/>
  <c r="AS20" i="55"/>
  <c r="AU20" i="55"/>
  <c r="AS19" i="55"/>
  <c r="AU19" i="55"/>
  <c r="AR24" i="55"/>
  <c r="AR26" i="55"/>
  <c r="AR27" i="55"/>
  <c r="AP13" i="55"/>
  <c r="AP15" i="55"/>
  <c r="AP17" i="55"/>
  <c r="AU13" i="55"/>
  <c r="AU15" i="55"/>
  <c r="AU17" i="55"/>
  <c r="AR19" i="55"/>
  <c r="AP19" i="55"/>
  <c r="AR21" i="55"/>
  <c r="AR23" i="55"/>
  <c r="AR25" i="55"/>
  <c r="E35" i="55"/>
  <c r="K35" i="55"/>
  <c r="AP20" i="55"/>
  <c r="AR20" i="55"/>
  <c r="AP21" i="55"/>
  <c r="AP23" i="55"/>
  <c r="AP24" i="55"/>
  <c r="AP25" i="55"/>
  <c r="AP26" i="55"/>
  <c r="J39" i="55"/>
  <c r="A8" i="30"/>
  <c r="AT27" i="55"/>
  <c r="AY27" i="55"/>
  <c r="J40" i="55"/>
  <c r="L36" i="55"/>
  <c r="F35" i="55"/>
  <c r="L35" i="55"/>
  <c r="B8" i="30"/>
  <c r="B11" i="30"/>
  <c r="D38" i="55"/>
  <c r="BA29" i="55"/>
  <c r="E36" i="55"/>
  <c r="F36" i="55"/>
  <c r="AV25" i="55"/>
  <c r="BB25" i="55"/>
  <c r="AV21" i="55"/>
  <c r="BB21" i="55"/>
  <c r="AV20" i="55"/>
  <c r="BB20" i="55"/>
  <c r="AV17" i="55"/>
  <c r="BB17" i="55"/>
  <c r="AV13" i="55"/>
  <c r="BB13" i="55"/>
  <c r="AV18" i="55"/>
  <c r="BB18" i="55"/>
  <c r="AV14" i="55"/>
  <c r="BB14" i="55"/>
  <c r="AV23" i="55"/>
  <c r="BB23" i="55"/>
  <c r="AV26" i="55"/>
  <c r="BB26" i="55"/>
  <c r="AV24" i="55"/>
  <c r="BB24" i="55"/>
  <c r="BB22" i="55"/>
  <c r="AV19" i="55"/>
  <c r="BB19" i="55"/>
  <c r="AV15" i="55"/>
  <c r="BB15" i="55"/>
  <c r="AV16" i="55"/>
  <c r="BB16" i="55"/>
  <c r="A11" i="30"/>
  <c r="A14" i="30"/>
  <c r="B39" i="55"/>
  <c r="B40" i="55"/>
  <c r="E37" i="55"/>
  <c r="F37" i="55"/>
  <c r="H39" i="55"/>
  <c r="H40" i="55"/>
  <c r="K37" i="55"/>
  <c r="L37" i="55"/>
  <c r="AZ27" i="55"/>
  <c r="AU27" i="55"/>
  <c r="AP27" i="55"/>
  <c r="B14" i="30"/>
  <c r="D39" i="55"/>
  <c r="D40" i="55"/>
  <c r="AV27" i="55"/>
  <c r="C38" i="55"/>
  <c r="AZ29" i="55"/>
  <c r="C8" i="30"/>
  <c r="AP29" i="55"/>
  <c r="F9" i="89"/>
  <c r="AU29" i="55"/>
  <c r="I38" i="55"/>
  <c r="AU28" i="55"/>
  <c r="AZ28" i="55"/>
  <c r="AP28" i="55"/>
  <c r="C9" i="105"/>
  <c r="BB27" i="55"/>
  <c r="C12" i="105"/>
  <c r="D12" i="105"/>
  <c r="D9" i="105"/>
  <c r="C14" i="105"/>
  <c r="AV29" i="55"/>
  <c r="BB28" i="55"/>
  <c r="I39" i="55"/>
  <c r="K38" i="55"/>
  <c r="L38" i="55"/>
  <c r="C9" i="89"/>
  <c r="BB29" i="55"/>
  <c r="AV28" i="55"/>
  <c r="C11" i="30"/>
  <c r="D11" i="30"/>
  <c r="C14" i="30"/>
  <c r="D8" i="30"/>
  <c r="C39" i="55"/>
  <c r="E38" i="55"/>
  <c r="D14" i="105"/>
  <c r="C40" i="55"/>
  <c r="E39" i="55"/>
  <c r="I40" i="55"/>
  <c r="K39" i="55"/>
  <c r="D9" i="89"/>
  <c r="C12" i="89"/>
  <c r="D12" i="89"/>
  <c r="F38" i="55"/>
  <c r="L14" i="56"/>
  <c r="L10" i="56"/>
  <c r="K13" i="56"/>
  <c r="J14" i="56"/>
  <c r="J10" i="56"/>
  <c r="I13" i="56"/>
  <c r="I9" i="56"/>
  <c r="H12" i="56"/>
  <c r="B9" i="56"/>
  <c r="F12" i="56"/>
  <c r="E14" i="56"/>
  <c r="E10" i="56"/>
  <c r="D12" i="56"/>
  <c r="C15" i="56"/>
  <c r="C11" i="56"/>
  <c r="B14" i="56"/>
  <c r="B10" i="56"/>
  <c r="L13" i="56"/>
  <c r="L9" i="56"/>
  <c r="K14" i="56"/>
  <c r="K10" i="56"/>
  <c r="J13" i="56"/>
  <c r="J9" i="56"/>
  <c r="I12" i="56"/>
  <c r="H15" i="56"/>
  <c r="H11" i="56"/>
  <c r="F15" i="56"/>
  <c r="F11" i="56"/>
  <c r="E15" i="56"/>
  <c r="E11" i="56"/>
  <c r="D15" i="56"/>
  <c r="D11" i="56"/>
  <c r="C14" i="56"/>
  <c r="C10" i="56"/>
  <c r="B13" i="56"/>
  <c r="D14" i="30"/>
  <c r="C13" i="56"/>
  <c r="B12" i="56"/>
  <c r="L15" i="56"/>
  <c r="K9" i="56"/>
  <c r="K12" i="56"/>
  <c r="J11" i="56"/>
  <c r="I10" i="56"/>
  <c r="F13" i="56"/>
  <c r="E13" i="56"/>
  <c r="D13" i="56"/>
  <c r="D9" i="56"/>
  <c r="B15" i="56"/>
  <c r="L12" i="56"/>
  <c r="K15" i="56"/>
  <c r="K11" i="56"/>
  <c r="J12" i="56"/>
  <c r="I15" i="56"/>
  <c r="I11" i="56"/>
  <c r="H14" i="56"/>
  <c r="H10" i="56"/>
  <c r="F14" i="56"/>
  <c r="F10" i="56"/>
  <c r="E12" i="56"/>
  <c r="D14" i="56"/>
  <c r="D10" i="56"/>
  <c r="C9" i="56"/>
  <c r="L11" i="56"/>
  <c r="J15" i="56"/>
  <c r="I14" i="56"/>
  <c r="H13" i="56"/>
  <c r="H9" i="56"/>
  <c r="F9" i="56"/>
  <c r="E9" i="56"/>
  <c r="C12" i="56"/>
  <c r="B11" i="56"/>
  <c r="D14" i="89"/>
  <c r="K40" i="55"/>
  <c r="K43" i="55"/>
  <c r="H44" i="55"/>
  <c r="K42" i="55"/>
  <c r="I44" i="55"/>
  <c r="J46" i="55"/>
  <c r="I43" i="55"/>
  <c r="J44" i="55"/>
  <c r="I42" i="55"/>
  <c r="K44" i="55"/>
  <c r="J43" i="55"/>
  <c r="H45" i="55"/>
  <c r="J42" i="55"/>
  <c r="H46" i="55"/>
  <c r="I45" i="55"/>
  <c r="H42" i="55"/>
  <c r="H43" i="55"/>
  <c r="J45" i="55"/>
  <c r="E44" i="55"/>
  <c r="E40" i="55"/>
  <c r="C42" i="55"/>
  <c r="D42" i="55"/>
  <c r="D45" i="55"/>
  <c r="C43" i="55"/>
  <c r="E43" i="55"/>
  <c r="B43" i="55"/>
  <c r="D43" i="55"/>
  <c r="B42" i="55"/>
  <c r="B45" i="55"/>
  <c r="B44" i="55"/>
  <c r="C45" i="55"/>
  <c r="C46" i="55"/>
  <c r="E42" i="55"/>
  <c r="B46" i="55"/>
  <c r="E46" i="55"/>
  <c r="K46" i="55"/>
  <c r="D46" i="55"/>
  <c r="C44" i="55"/>
  <c r="E45" i="55"/>
  <c r="D44" i="55"/>
  <c r="K45" i="55"/>
  <c r="C14" i="89"/>
  <c r="I46" i="55"/>
  <c r="D14" i="90"/>
  <c r="H14" i="90"/>
  <c r="G10" i="90"/>
  <c r="D10" i="90"/>
  <c r="C15" i="90"/>
  <c r="G15" i="90"/>
  <c r="C13" i="90"/>
  <c r="G13" i="90"/>
  <c r="C12" i="90"/>
  <c r="G12" i="90"/>
  <c r="G18" i="90"/>
  <c r="D13" i="90"/>
  <c r="H13" i="90"/>
  <c r="D17" i="90"/>
  <c r="H17" i="90"/>
  <c r="D15" i="90"/>
  <c r="H15" i="90"/>
  <c r="C14" i="90"/>
  <c r="G14" i="90"/>
  <c r="D12" i="90"/>
  <c r="H12" i="90"/>
  <c r="C11" i="90"/>
  <c r="G11" i="90"/>
  <c r="H19" i="90"/>
  <c r="C17" i="90"/>
  <c r="G17" i="90"/>
  <c r="D16" i="90"/>
  <c r="H16" i="90"/>
  <c r="C16" i="90"/>
  <c r="G16" i="90"/>
  <c r="D11" i="90"/>
  <c r="G19" i="90"/>
  <c r="H18" i="90"/>
</calcChain>
</file>

<file path=xl/comments1.xml><?xml version="1.0" encoding="utf-8"?>
<comments xmlns="http://schemas.openxmlformats.org/spreadsheetml/2006/main">
  <authors>
    <author>Microsoft Office User</author>
  </authors>
  <commentList>
    <comment ref="D24" authorId="0">
      <text>
        <r>
          <rPr>
            <b/>
            <sz val="10"/>
            <color indexed="81"/>
            <rFont val="Calibri"/>
            <family val="2"/>
          </rPr>
          <t>Microsoft Office User:</t>
        </r>
        <r>
          <rPr>
            <sz val="10"/>
            <color indexed="81"/>
            <rFont val="Calibri"/>
            <family val="2"/>
          </rPr>
          <t xml:space="preserve">
Revenues could be net of proceeds to investors or the like, unclear</t>
        </r>
      </text>
    </comment>
  </commentList>
</comments>
</file>

<file path=xl/sharedStrings.xml><?xml version="1.0" encoding="utf-8"?>
<sst xmlns="http://schemas.openxmlformats.org/spreadsheetml/2006/main" count="2977" uniqueCount="1534">
  <si>
    <t>Year</t>
  </si>
  <si>
    <t>Qualcomm Source</t>
  </si>
  <si>
    <t>Notes</t>
  </si>
  <si>
    <t>From sales of patents on 802.11 to Intel</t>
  </si>
  <si>
    <t>Licensing Revenues jumped because of resolution of licensing disputes with Nokia and Panasonic, of $253m and $12m, respectively</t>
  </si>
  <si>
    <t>Nokia</t>
  </si>
  <si>
    <t>Source</t>
  </si>
  <si>
    <t xml:space="preserve"> </t>
  </si>
  <si>
    <t>Nokia, form 20F, 2011, page 118.</t>
  </si>
  <si>
    <t>We use the "running" estimate from Nokia 20F, 2012, page 110.</t>
  </si>
  <si>
    <t xml:space="preserve">From Annual Report 2012, page 27; this figure includes a one-off patent sale. </t>
  </si>
  <si>
    <t xml:space="preserve">From Annual Report 2011, page 24:  Difference between IPR Revenues and Reported License Revenues for 2007-2009 are related to Ericsson Mobile Platform (EMP) Revenues.  2009 Annual Report, page 54, gives a higher figure for 2007 and 2008 because it includes revenues from Ericcson Mobile Platforms (EMP).  We take those figures in order to bias the results upwards </t>
  </si>
  <si>
    <t>From annual report 2012, this figure includes revenue from a one-off patent sale. Note that 2012 Annual report puts license income at 5billion, but 2010 annual report puts it at 9.106 billion. The discepancy appears to be related to the fact that 2008 includes revenues from Ericsson Mobile Platforms. In 2009, EMP was moved into ST-Ericsson.  ST -Ericsson did not succeed, and disappeared in 2013.  At the same time that ST-Ericsson was created, Ericsson AB was created, a wholly owned subsidiary of Ericsson, and much of the patent portolio was transferred there.  The implication is that there should be a step up for all later years, at least until 2013, when ST-Ericsson folded.</t>
  </si>
  <si>
    <t>Value of Step-Up for 2009 transfer of IPR to Samsung AB</t>
  </si>
  <si>
    <t>Implied step-up in IPR licensing to account for Ericsson AB spinoff of third party IPR revenues</t>
  </si>
  <si>
    <t>Adusted IPR licensing revenues (Reported, plus Step Up, plus Samsung)</t>
  </si>
  <si>
    <t>Microsoft 10-K, FY 2015, pages 6 and 32 (for fiscal year ending June 2015)</t>
  </si>
  <si>
    <t>Microsoft 10-K, FY 2015, pages 6 and 33 (for fiscal year ending June 2015)</t>
  </si>
  <si>
    <t xml:space="preserve">Micosoft 10K, FY 2014 (period ending june 30, 2014), pages 5 and 33. </t>
  </si>
  <si>
    <t xml:space="preserve">Microsoft 10-K, FY 2013, page 32. </t>
  </si>
  <si>
    <t>FY (Ends Dec 31)</t>
  </si>
  <si>
    <t>FY (ends June 30)</t>
  </si>
  <si>
    <t>Estimates of the  Value and  Volume of Devices Sold</t>
  </si>
  <si>
    <t>Year (Ends Dec 31)</t>
  </si>
  <si>
    <t>Vendor</t>
  </si>
  <si>
    <t>Samsung</t>
  </si>
  <si>
    <t>Apple</t>
  </si>
  <si>
    <t>LG Electronics</t>
  </si>
  <si>
    <t>Others</t>
  </si>
  <si>
    <t>ZTE</t>
  </si>
  <si>
    <t>Total</t>
  </si>
  <si>
    <t>https://mobiforge.com/research-analysis/2011-handset-and-smartphone-sales-statistics-worldwide-big-picture   Accessed June 19 2016</t>
  </si>
  <si>
    <t>Company</t>
  </si>
  <si>
    <t>Huawei</t>
  </si>
  <si>
    <t>Lenovo (incl Motorola)</t>
  </si>
  <si>
    <t>http://www.gartner.com/newsroom/id/3215217   Accessed June 19 2016</t>
  </si>
  <si>
    <t>http://www.macrumors.com/2015/03/03/gartner-apple-samsung-q4-2014/   Accessed June 19 2016</t>
  </si>
  <si>
    <t>LG (includedin others as of 2015)</t>
  </si>
  <si>
    <t>Xiaomi (incl in others before 2014)</t>
  </si>
  <si>
    <t>Total Mobile Phones</t>
  </si>
  <si>
    <t>http://www.fonearena.com/blog/180592/worldwide-smartphone-sales-to-grow-mere-7-in-2016-gartner.html   Accessed June 19 2016 For Data on Total Mobile Phone Sales and Tablet Sales</t>
  </si>
  <si>
    <t>UltramobilePCs (Tablets)</t>
  </si>
  <si>
    <t>Total Smartphones</t>
  </si>
  <si>
    <t>http://www.patentlyapple.com/patently-apple/2014/03/gartner-reports-that-apples-ipad-is-number-one-and-hybrid-notebook-tablets-are-on-the-rise.html   Accessed June 19 2016, for data on Tablet Sales</t>
  </si>
  <si>
    <t>http://macdailynews.com/2013/01/25/idc-apple-took-25-1-of-worldwide-smartphone-market-in-2012/   Accessed June 19 2016</t>
  </si>
  <si>
    <t>Lenovo</t>
  </si>
  <si>
    <t>http://www.xbitlabs.com/news/mobile/display/20140128234203_Worldwide_Smartphone_Shipments_Top_One_Billion_Units_in_2013_IDC.html   Accessed June 19 2016</t>
  </si>
  <si>
    <t>Nokia (incl in others as of 2013)</t>
  </si>
  <si>
    <t>ZTE (incl in others as of 2013)</t>
  </si>
  <si>
    <t>Research in Mootion (in others as of 2013)</t>
  </si>
  <si>
    <t>Motorola</t>
  </si>
  <si>
    <t>HTC</t>
  </si>
  <si>
    <t>Estimate of feature phone sales</t>
  </si>
  <si>
    <t>http://www.mobilevillage.com/2014-q4-smartphone-sales-apple-gains/  Accessed June 19 2016</t>
  </si>
  <si>
    <t>Microsoft</t>
  </si>
  <si>
    <t>TCL Communication</t>
  </si>
  <si>
    <t>Micromax</t>
  </si>
  <si>
    <t>http://macdailynews.com/2013/02/13/gartner-2012-mobile-phone-sales-declined-1-7-worldwide-apple-iphone-sales-up-22-6-yoy/</t>
  </si>
  <si>
    <t>Xiaomi</t>
  </si>
  <si>
    <t>http://macdailynews.com/2012/02/15/gartner-apple-took-top-smartphone-vendor-crown-in-q411-and-for-all-2011/ accessed june 20 2016</t>
  </si>
  <si>
    <t>Sony (Sony Ericsson)</t>
  </si>
  <si>
    <t>http://www.gartner.com/newsroom/id/2665715  Accessed June 20 2016</t>
  </si>
  <si>
    <t>http://www.gartner.com/newsroom/id/1543014 accessed june 20 2016</t>
  </si>
  <si>
    <t>https://www.idc.com/getdoc.jsp?containerId=prUS40980416</t>
  </si>
  <si>
    <t>http://www.statista.com/statistics/510668/smartphone-average-selling-price-worldwide/  Accessed June 21 2016</t>
  </si>
  <si>
    <t>http://www.statista.com/statistics/309472/global-average-selling-price-smartphones/  accessed june 21 2016</t>
  </si>
  <si>
    <t>http://www.gartner.com/newsroom/id/1924314 accessed on jun 22 2016</t>
  </si>
  <si>
    <t>http://www.statista.com/statistics/263437/global-smartphone-sales-to-end-users-since-2007/ accessed june 23 2016</t>
  </si>
  <si>
    <t>http://www.gartner.com/newsroom/id/1306513 accessed june 23 2016</t>
  </si>
  <si>
    <t>http://www.gartner.com/newsroom/id/904729 accessed june 23 2016</t>
  </si>
  <si>
    <t>2010</t>
  </si>
  <si>
    <t>2011</t>
  </si>
  <si>
    <t>2012</t>
  </si>
  <si>
    <t>2014</t>
  </si>
  <si>
    <t>2015</t>
  </si>
  <si>
    <t>Feature Phone volume</t>
  </si>
  <si>
    <t>Feature Phones total value (US$M)</t>
  </si>
  <si>
    <t>Smartphone Volume</t>
  </si>
  <si>
    <t>Smartphone Total Value (US$M)</t>
  </si>
  <si>
    <t xml:space="preserve">Total Phones volume </t>
  </si>
  <si>
    <t>Data on Phone Sales Volumes and Prices</t>
  </si>
  <si>
    <t>Global Shipments of  Phones from IDC</t>
  </si>
  <si>
    <t>Global Shipments and Prices of Smart and Feature Phones from IDC</t>
  </si>
  <si>
    <t>Total Revenue from Smartphones</t>
  </si>
  <si>
    <t xml:space="preserve">Smartphones  </t>
  </si>
  <si>
    <t xml:space="preserve">Total Mobile Phones </t>
  </si>
  <si>
    <t>ASP Smartphones</t>
  </si>
  <si>
    <t>Feature Phone Revenues</t>
  </si>
  <si>
    <t>Total Mobile Phone Revenues</t>
  </si>
  <si>
    <t>ASP Feature Phones</t>
  </si>
  <si>
    <t>Smartphones shipped Source 1</t>
  </si>
  <si>
    <t>Smartphones shipped Source 2</t>
  </si>
  <si>
    <t>IDCvs web source #2 %</t>
  </si>
  <si>
    <t>Global ASP Smartphones</t>
  </si>
  <si>
    <t>GFK ASP / IDC GSP</t>
  </si>
  <si>
    <t>SEC 10K, 2011</t>
  </si>
  <si>
    <t>SEC 10K 2013</t>
  </si>
  <si>
    <t>SEC 10K, 2014</t>
  </si>
  <si>
    <t>SEC 10K, 2015</t>
  </si>
  <si>
    <t>Broadcom</t>
  </si>
  <si>
    <t>British Telecommunications plc*</t>
  </si>
  <si>
    <t>GE Technology Development, Inc.</t>
  </si>
  <si>
    <t>JVC KENWOOD Corporation*</t>
  </si>
  <si>
    <t>KDDI Corporation*</t>
  </si>
  <si>
    <t>Orange SA*</t>
  </si>
  <si>
    <t>SANYO Electric Co., Ltd.*</t>
  </si>
  <si>
    <t>Abox42 GmbH</t>
  </si>
  <si>
    <t>Agama Technologies AB</t>
  </si>
  <si>
    <t>AirTies Kablosuz Iletisim Sanayi ve Dis Ticaret A.S.</t>
  </si>
  <si>
    <t>Amino Communications Limited</t>
  </si>
  <si>
    <t>Appear TV AS</t>
  </si>
  <si>
    <t>Arcadyan Technology Corporation</t>
  </si>
  <si>
    <t>AVC Multimedia Software Co., Ltd.</t>
  </si>
  <si>
    <t>Bang &amp; Olufsen a/s</t>
  </si>
  <si>
    <t>Best Buy China Ltd as Trustee for Best Buy China, a trust created and organized under the laws of the People's Republic of China</t>
  </si>
  <si>
    <t>BrightSign, LLC</t>
  </si>
  <si>
    <t>Buffalo Inc.</t>
  </si>
  <si>
    <t>Cable Electronics, Inc.</t>
  </si>
  <si>
    <t>Cabletime Limited</t>
  </si>
  <si>
    <t>Carina System Co., Ltd.</t>
  </si>
  <si>
    <t>Cisco Systems, Inc.</t>
  </si>
  <si>
    <t>Clarion Co., Ltd.</t>
  </si>
  <si>
    <t>Comigo Ltd.</t>
  </si>
  <si>
    <t>COP-USA Inc.</t>
  </si>
  <si>
    <t>CRI Middleware Co., Ltd.</t>
  </si>
  <si>
    <t>CyberLink Corp.</t>
  </si>
  <si>
    <t>Delphi Automotive Systems, LLC</t>
  </si>
  <si>
    <t>DEXATEK Technology Ltd.</t>
  </si>
  <si>
    <t>Dolby Laboratories, Inc.</t>
  </si>
  <si>
    <t>Dune HD LTD</t>
  </si>
  <si>
    <t>Elecard Devices, CJSC</t>
  </si>
  <si>
    <t>Elemental Technologies, Inc.</t>
  </si>
  <si>
    <t>Ever Treasure Industrial Limited</t>
  </si>
  <si>
    <t>Evolution Digital, LLC</t>
  </si>
  <si>
    <t>Exterity Limited</t>
  </si>
  <si>
    <t>Fluendo S.A.</t>
  </si>
  <si>
    <t>Fujitsu Limited</t>
  </si>
  <si>
    <t>Fujitsu Technology Solutions GmbH</t>
  </si>
  <si>
    <t>Funai Electric Co., Ltd.</t>
  </si>
  <si>
    <t>Google Inc.</t>
  </si>
  <si>
    <t>Grass Valley K.K.</t>
  </si>
  <si>
    <t>HaiVision Systems Inc.</t>
  </si>
  <si>
    <t>Harmonic Inc.</t>
  </si>
  <si>
    <t>Hirschmann Car Communication GmbH</t>
  </si>
  <si>
    <t>Hitachi Maxell, Ltd.</t>
  </si>
  <si>
    <t>Hitachi, Ltd.</t>
  </si>
  <si>
    <t>HP Inc.</t>
  </si>
  <si>
    <t>Huizhou TCL Audio Video Electronics Co., Ltd.</t>
  </si>
  <si>
    <t>IAdea Corporation</t>
  </si>
  <si>
    <t>IBEX Technology Co., Ltd.</t>
  </si>
  <si>
    <t>Infomir, L.L.C.</t>
  </si>
  <si>
    <t>Interra Systems, Inc.</t>
  </si>
  <si>
    <t>Keepixo</t>
  </si>
  <si>
    <t>Koninklijke Philips N.V.</t>
  </si>
  <si>
    <t>Loewe Technologies GmbH</t>
  </si>
  <si>
    <t>Manzanita Systems, LLC</t>
  </si>
  <si>
    <t>Media Excel, Inc.</t>
  </si>
  <si>
    <t>MEDIAEDGE Corporation</t>
  </si>
  <si>
    <t>Mitsubishi Electric Corporation</t>
  </si>
  <si>
    <t>Mitsumi Electric Co., Ltd.</t>
  </si>
  <si>
    <t>Motama GmbH</t>
  </si>
  <si>
    <t>NEC Corporation</t>
  </si>
  <si>
    <t>NEC Display Solutions, Ltd.</t>
  </si>
  <si>
    <t>Nedis B.V.</t>
  </si>
  <si>
    <t>Nero AG</t>
  </si>
  <si>
    <t>Nexguard Labs France S.A.S.</t>
  </si>
  <si>
    <t>Nikon Systems Inc.</t>
  </si>
  <si>
    <t>NTT Electronics Corporation</t>
  </si>
  <si>
    <t>Onkyo &amp; Pioneer Innovations Corporation</t>
  </si>
  <si>
    <t>Pegasys Inc.</t>
  </si>
  <si>
    <t>Picturall Ltd</t>
  </si>
  <si>
    <t>Robert Bosch GmbH</t>
  </si>
  <si>
    <t>Roku, Inc.</t>
  </si>
  <si>
    <t>Sagemcom Broadband SAS</t>
  </si>
  <si>
    <t>Scala, Inc.</t>
  </si>
  <si>
    <t>Sencore, Inc.</t>
  </si>
  <si>
    <t>Sharp Corporation</t>
  </si>
  <si>
    <t>Shenzhen Geniatech Inc., Ltd.</t>
  </si>
  <si>
    <t>Siemens AG</t>
  </si>
  <si>
    <t>Sirius Pixels</t>
  </si>
  <si>
    <t>SmartLabs LLC</t>
  </si>
  <si>
    <t>sMedio, Inc.</t>
  </si>
  <si>
    <t>Softvelum, LLC</t>
  </si>
  <si>
    <t>Soliton Systems K.K.</t>
  </si>
  <si>
    <t>Solveig Multimedia</t>
  </si>
  <si>
    <t>STRONG International Ltd.</t>
  </si>
  <si>
    <t>Sumitomo Electric Industries, Ltd.</t>
  </si>
  <si>
    <t>SZe Schneider &amp; Zirr engineering GmbH</t>
  </si>
  <si>
    <t>Tatung Co.</t>
  </si>
  <si>
    <t>TATUNG Technology Inc.</t>
  </si>
  <si>
    <t>Telestream, Inc.</t>
  </si>
  <si>
    <t>Toshiba Corporation</t>
  </si>
  <si>
    <t>Turbosat International Ltd.</t>
  </si>
  <si>
    <t>Vantrix Corporation</t>
  </si>
  <si>
    <t>Vecima Networks Inc.</t>
  </si>
  <si>
    <t>Western Digital Technologies, Inc.</t>
  </si>
  <si>
    <t>WETEK D.O.O.</t>
  </si>
  <si>
    <t>Wistron NeWeb Corporation</t>
  </si>
  <si>
    <t>Wowza Media Systems, LLC</t>
  </si>
  <si>
    <t>X-GEM SAS</t>
  </si>
  <si>
    <t>MPEG LA's MPEG-4 Visual Patent Portfolio License provides access to essential patent rights for the MPEG-4 (Part 2) Visual patents standard used in media player and other personal computer software, mobile devices including telephones, DVD players and recorder accessories such as DivX®, game machines, personal media player devices, security and surveillance systems equipment, still and video cameras, subscription and pay-per view or title video mobile and internet services and other products. To align with the real-world flow of MPEG-4 Visual commerce, reasonable royalties are apportioned throughout the MPEG-4 Visual value chain. The License employs annual limitations to provide cost predictability, threshold levels below which certain royalties will not be charged in order to encourage early-stage adopters and minimize the impact on lower volume users or demo products, and licensing options that require no royalty reports.</t>
  </si>
  <si>
    <t>CableTelevision Laboratories, Inc.</t>
  </si>
  <si>
    <t>Calmare Therapeutics Incorporated</t>
  </si>
  <si>
    <t>Dolby International AB*</t>
  </si>
  <si>
    <t>Dolby Laboratories Licensing Corporation</t>
  </si>
  <si>
    <t>LG Electronics Inc.</t>
  </si>
  <si>
    <t>Microsoft Corporation</t>
  </si>
  <si>
    <t>Nippon Telegraph and Telephone Corporation</t>
  </si>
  <si>
    <t>Oki Electric Industry Co., Ltd.*</t>
  </si>
  <si>
    <t>Panasonic Corporation</t>
  </si>
  <si>
    <t>Pantech Inc.</t>
  </si>
  <si>
    <t>Samsung Electronics Co., Ltd.</t>
  </si>
  <si>
    <t>Sony Corporation</t>
  </si>
  <si>
    <t>Sun Patent Trust</t>
  </si>
  <si>
    <t>Telenor ASA*</t>
  </si>
  <si>
    <t>Victor Company of Japan, Limited*</t>
  </si>
  <si>
    <t>ZTE Corporation</t>
  </si>
  <si>
    <t>Apple Inc.</t>
  </si>
  <si>
    <t>Audials AG</t>
  </si>
  <si>
    <t>Axis Communications AB</t>
  </si>
  <si>
    <t>Beijing BlueSky Technologies Inc.</t>
  </si>
  <si>
    <t>Derivative Inc.</t>
  </si>
  <si>
    <t>Dialogic Corporation</t>
  </si>
  <si>
    <t>Exacq Technologies, Inc.</t>
  </si>
  <si>
    <t>Fraunhofer-Gesellschaft zur Foerderung der angewandten Forschung e.V.</t>
  </si>
  <si>
    <t>GeoVision, Inc.</t>
  </si>
  <si>
    <t>Hangzhou HIKVISION Digital Technology Co., Ltd.</t>
  </si>
  <si>
    <t>IntuiLab SA</t>
  </si>
  <si>
    <t>JVC KENWOOD Corporation</t>
  </si>
  <si>
    <t>NextD Technologies, Inc.</t>
  </si>
  <si>
    <t>Orange SA</t>
  </si>
  <si>
    <t>Signal Communications Limited</t>
  </si>
  <si>
    <t>Sky Light Imaging Limited</t>
  </si>
  <si>
    <t>TechniSat Digital GmbH</t>
  </si>
  <si>
    <t>Vivotek Inc.</t>
  </si>
  <si>
    <t>VTech Electronics Ltd</t>
  </si>
  <si>
    <t>WAM!NET Japan K.K.</t>
  </si>
  <si>
    <t>Zhejiang Dahua Technology Co., Ltd.</t>
  </si>
  <si>
    <t>MPEG2 vs. MPEG4</t>
  </si>
  <si>
    <t>The Moving Pictures Experts Group, or MPEG, is the body responsible for the standards that we often use for video encoding. MPEG2 is the standard that was created to encode high quality videos, meant to be used for the, then emerging, DVD media. MPEG4 was developed much later, as an encoding method for devices with limited resources. Portable devices, like media players and mobile phones, use this format, as well as online stores who provide the hiring of video and audio files.</t>
  </si>
  <si>
    <t>MPEG4 is the preferred format for devices, as it yields a file that is under 1G for most full length movies. This is a far cry from MPEG2, which can only produce files with five times the size. Storing MPEG2 files will not be a problem on DVDs, as the usual DVD capacity is over 4GB, but is a major issue with portable devices. MPEG4 also made it practical to buy and download videos online, as MPEG2 videos are quite large, and take a long time to download. The small file size of MPEG4 files directly translates to a lower bandwidth needed, when streaming recorded or real-time videos through the internet.</t>
  </si>
  <si>
    <t>Setting file size aside when considering the better format, MPEG2 wins hands-down, as it provides a far superior image quality. The difference in quality is minor when viewing the files through a tiny screen, like those installed in mobile phones and even netbooks, but when it comes to large displays, like most current HDTV displays, you can clearly notice the difference in the final picture. We can attribute this to the amount of data lost, since both MPEG2 and MPEG4 are compression methods that lose data. MPEG4 simply discards more information, which results in poorer picture.</t>
  </si>
  <si>
    <t>MPEG2 compresses the video by discarding the information in portions of the image that do not change from one frame to another, and saving only the portions of the image where new information is added. The MPEG4 compression mechanism is a bit more complicated compared to that of MPEG2, as it needs better algorithms to scan and determine which pixels can be discarded, to reduce the data even further.</t>
  </si>
  <si>
    <t>Licensors of MPEG4 as of June 2016</t>
  </si>
  <si>
    <t>Royalty Rate for MPEG4</t>
  </si>
  <si>
    <t>From: MPEG-4 Visual
Patent Portfolio
License Briefing*</t>
  </si>
  <si>
    <t>http://www.mpegla.com/main/programs/M4V/Pages/AgreementExpress.aspx</t>
  </si>
  <si>
    <t>MPEG-4 Visual License Terms:</t>
  </si>
  <si>
    <t>Decoders and Encoders</t>
  </si>
  <si>
    <t>• Decoders sold to end users and/or as Fully Functioning for PCs</t>
  </si>
  <si>
    <t>o US $0.25* per decoder after first 50,000 decoders/year</t>
  </si>
  <si>
    <t>• Encoders sold to end users and/or as Fully Functioning for PCs</t>
  </si>
  <si>
    <t>o US $0.25* per encoder after first 50,000 encoders/year</t>
  </si>
  <si>
    <t>Worldwide Sales of Smartphones by IC Insights</t>
  </si>
  <si>
    <t>OPPO</t>
  </si>
  <si>
    <t>Vivo</t>
  </si>
  <si>
    <t>LG</t>
  </si>
  <si>
    <t>TCL</t>
  </si>
  <si>
    <t>Meizu</t>
  </si>
  <si>
    <t>Units</t>
  </si>
  <si>
    <t>Smartphones m</t>
  </si>
  <si>
    <t>Other</t>
  </si>
  <si>
    <t>http://www.eetimes.com/document.asp?doc_id=1329884&amp;_mc=RSS_EET_EDT</t>
  </si>
  <si>
    <t>Coolpad</t>
  </si>
  <si>
    <t>Fujitsu</t>
  </si>
  <si>
    <t>NEC</t>
  </si>
  <si>
    <t>Panasonic</t>
  </si>
  <si>
    <t>Philips</t>
  </si>
  <si>
    <t>Pantech</t>
  </si>
  <si>
    <t>Asus</t>
  </si>
  <si>
    <t>BenQ</t>
  </si>
  <si>
    <t>Background on MPEG4</t>
  </si>
  <si>
    <t>MPEG LA H.264</t>
  </si>
  <si>
    <t>Cisco Systems Canada Co.</t>
  </si>
  <si>
    <t>Cisco Technology, Inc.</t>
  </si>
  <si>
    <t>Dolby International AB</t>
  </si>
  <si>
    <t>Electronics and Telecommunications Research Institute</t>
  </si>
  <si>
    <t>GE Video Compression, LLC</t>
  </si>
  <si>
    <t>Godo Kaisha IP Bridge1</t>
  </si>
  <si>
    <t>Korea Advanced Institute of Science and Technology (KAIST)</t>
  </si>
  <si>
    <t>NEWRACOM, Inc.*</t>
  </si>
  <si>
    <t>NTT DOCOMO, INC.</t>
  </si>
  <si>
    <t>Polycom, Inc.</t>
  </si>
  <si>
    <t>Tagivan II, LLC</t>
  </si>
  <si>
    <t>Telefonaktiebolaget LM Ericsson</t>
  </si>
  <si>
    <t xml:space="preserve">The Trustees of Columbia University in the City of New York </t>
  </si>
  <si>
    <t>Vidyo, Inc.</t>
  </si>
  <si>
    <t>ZTE Corporation*</t>
  </si>
  <si>
    <t>Accellence Technologies GmbH</t>
  </si>
  <si>
    <t>AVYCON</t>
  </si>
  <si>
    <t>DTS, Inc.</t>
  </si>
  <si>
    <t>Escape Motions, s.r.o.</t>
  </si>
  <si>
    <t>HUMAX Co., Ltd.</t>
  </si>
  <si>
    <t>Hybroad Vision Holdings Limited</t>
  </si>
  <si>
    <t>IQ wireless GmbH</t>
  </si>
  <si>
    <t>KATHREIN-Werke KG</t>
  </si>
  <si>
    <t>Metz Consumer Electronics GmbH</t>
  </si>
  <si>
    <t>Miravue, LLC</t>
  </si>
  <si>
    <t>MulticoreWare, Inc.</t>
  </si>
  <si>
    <t>Net Insight AB</t>
  </si>
  <si>
    <t>NTT Advanced Technology Corporation</t>
  </si>
  <si>
    <t>Shenzhen TVT Digital Technology Co., Ltd.</t>
  </si>
  <si>
    <t>Sky Deutschland Fernsehen GmbH &amp; Co. KG</t>
  </si>
  <si>
    <t>Sky UK Limited</t>
  </si>
  <si>
    <t>VIA Technologies, Inc.</t>
  </si>
  <si>
    <t>Viavi Solutions, Inc</t>
  </si>
  <si>
    <t>Yahoo Japan Corporation</t>
  </si>
  <si>
    <t>ZheJiang Uniview Technologies Co., Ltd.</t>
  </si>
  <si>
    <t>Background</t>
  </si>
  <si>
    <t>H.264 or MPEG-4 Part 10, Advanced Video Coding (MPEG-4 AVC) is a block-oriented motion-compensation-based video compression standard that is currently one of the most commonly used formats for the recording, compression, and distribution of video content.</t>
  </si>
  <si>
    <t>The intent of the H.264/AVC project was to create a standard capable of providing good video quality at substantially lower bit rates than previous standards (i.e., half or less the bit rate of MPEG-2, H.263, or MPEG-4 Part 2), without increasing the complexity of design so much that it would be impractical or excessively expensive to implement. An additional goal was to provide enough flexibility to allow the standard to be applied to a wide variety of applications on a wide variety of networks and systems, including low and high bit rates, low and high resolution video, broadcast, DVD storage, RTP/IP packet networks, and ITU-T multimedia telephony systems. The H.264 standard can be viewed as a "family of standards" composed of a number of different profiles. A specific decoder decodes at least one, but not necessarily all profiles. The decoder specification describes which profiles can be decoded. H.264 is typically used for lossy compression, although it is also possible to create truly lossless-coded regions within lossy-coded pictures or to support rare use cases for which the entire encoding is lossless.</t>
  </si>
  <si>
    <t>Licensors(accessed from MPEGLA website June 25 2015)</t>
  </si>
  <si>
    <t>MPEGLA MPEG4</t>
  </si>
  <si>
    <t>Unwired Planet</t>
  </si>
  <si>
    <t>First 1 to 500,000 units</t>
  </si>
  <si>
    <t>Per unit $</t>
  </si>
  <si>
    <t xml:space="preserve">500,001 to 1m </t>
  </si>
  <si>
    <t>1m to 2m</t>
  </si>
  <si>
    <t>2,000001 to 5m</t>
  </si>
  <si>
    <t>5,000,0001 to 10m</t>
  </si>
  <si>
    <t>10,000,001 to 20m</t>
  </si>
  <si>
    <t>20,000,001 to 50m</t>
  </si>
  <si>
    <t>50,000,001 to 75m</t>
  </si>
  <si>
    <t>more than 75m</t>
  </si>
  <si>
    <t>Explorer Inc.</t>
  </si>
  <si>
    <t>Fraunhofer-Gesellschaft zur Foerderung der angewandten Forschung, e.V.</t>
  </si>
  <si>
    <t>data from via website accessed july 2, 2016</t>
  </si>
  <si>
    <t>AT&amp;T Corp.</t>
  </si>
  <si>
    <t xml:space="preserve">Licensors include: </t>
  </si>
  <si>
    <t>AT&amp;T Intellectual Property</t>
  </si>
  <si>
    <t>KDDI Corporation, Inc.</t>
  </si>
  <si>
    <t>Koninklijke KPN N.V.</t>
  </si>
  <si>
    <t>Newracom, Inc.</t>
  </si>
  <si>
    <t>NTT DOCOMO INC.</t>
  </si>
  <si>
    <t>SK Telecom</t>
  </si>
  <si>
    <t>Less than 2.5 m</t>
  </si>
  <si>
    <t>2.5 to 6.25m</t>
  </si>
  <si>
    <t>6.25 to 12.5m</t>
  </si>
  <si>
    <t>12.5 to 25m</t>
  </si>
  <si>
    <t>25 to 50m</t>
  </si>
  <si>
    <t>50m+</t>
  </si>
  <si>
    <t>These are reset each quarter</t>
  </si>
  <si>
    <t xml:space="preserve">The rates are 1 percent of the NSP, with a maximum royalty rate per unit of $2 and a minimum royalty rate of $1.  </t>
  </si>
  <si>
    <t>There are then volume discounts calculated by quarter, as follows.</t>
  </si>
  <si>
    <t xml:space="preserve">We assume that by 2015 OEMs were paying the royalty rate for the 3rd year. </t>
  </si>
  <si>
    <t xml:space="preserve">We then assume that the "others" category must include sufficient manufacturers that no manufacturer produces more than 14.4 m units (the lowest recorded figure in 2015 are reported in ee times above </t>
  </si>
  <si>
    <t>Other 1</t>
  </si>
  <si>
    <t>Other 2</t>
  </si>
  <si>
    <t>Other 3</t>
  </si>
  <si>
    <t>Other 4</t>
  </si>
  <si>
    <t>Other 5</t>
  </si>
  <si>
    <t>Other 6</t>
  </si>
  <si>
    <t>Other 7</t>
  </si>
  <si>
    <t>Other 8</t>
  </si>
  <si>
    <t>Other 9</t>
  </si>
  <si>
    <t>Other 10</t>
  </si>
  <si>
    <t>other 11</t>
  </si>
  <si>
    <t>Other 12</t>
  </si>
  <si>
    <t>Other 13</t>
  </si>
  <si>
    <t>Other 14</t>
  </si>
  <si>
    <t>Other 15</t>
  </si>
  <si>
    <t>Other 16</t>
  </si>
  <si>
    <t>Other 17</t>
  </si>
  <si>
    <t>Other 18</t>
  </si>
  <si>
    <t>Other 19</t>
  </si>
  <si>
    <t>Other 20</t>
  </si>
  <si>
    <t>Other 21</t>
  </si>
  <si>
    <t>Other 22</t>
  </si>
  <si>
    <t>Other 23</t>
  </si>
  <si>
    <t>Other 24</t>
  </si>
  <si>
    <t>Unwired Planet, SEC 10K, 2015, page 29</t>
  </si>
  <si>
    <t xml:space="preserve">Each panel of data presents smartphone and/or feature phone sales data by manufacturer as reported by different industry analyst services, such as Gartner, IDC, and IC Insights. </t>
  </si>
  <si>
    <t xml:space="preserve">We use the IC Insights data, published in eeTimes, to estimate sales by firm when we calculate royalties paid by OEMs to patent pools, because IC Insights provides broader coverage than the other sources. </t>
  </si>
  <si>
    <t>Licensing Revenues</t>
  </si>
  <si>
    <t>AAC Licensors from AAC website, accessed June 30 2015</t>
  </si>
  <si>
    <t>In year 3, the maximum royalty rate was $1 per unit.</t>
  </si>
  <si>
    <t>We make the assumption that OEMs were paying the year 3 royalty rate for two reasons.</t>
  </si>
  <si>
    <t>1.  First, SIPRO licensing program was established in 2012.</t>
  </si>
  <si>
    <t xml:space="preserve">2.  Second, the SIPRO licensing program allowed OEMs to pay the year 3 royalty rate in years 1 and 2, if the OEM entered into an agreement with SIPRO within 6 months of making contact. </t>
  </si>
  <si>
    <t>Royalty rates indicated in Table 1 for Year 3 and beyond will be applicable as of Year 1;</t>
  </si>
  <si>
    <t>Interest on Licensed Products Sold prior to the execution of a JLA will be waived."</t>
  </si>
  <si>
    <t xml:space="preserve"> IPR Licensing reported in 2012 Annual Report</t>
  </si>
  <si>
    <t>IPR Licensing reported in 2010 and 2009 Annual Report (before accounting for spinoff to Ericsson AB)</t>
  </si>
  <si>
    <t>Patent Pools</t>
  </si>
  <si>
    <t>Worldwide Sales of Smartphones in 2015 by IC Insights</t>
  </si>
  <si>
    <t>Yulong (coolpad)</t>
  </si>
  <si>
    <t>Nokia (sold to Microsoft in 2014)</t>
  </si>
  <si>
    <t>Research in Motion</t>
  </si>
  <si>
    <t>Google Motorola</t>
  </si>
  <si>
    <t>IDC shipment data as % of Gartner Data</t>
  </si>
  <si>
    <t>Worldwide Sales of Smart and Mobile Phones  to End Users from Gartner</t>
  </si>
  <si>
    <t>IC Insights as % Gartner</t>
  </si>
  <si>
    <t>Sony (and Sony Ericsson)</t>
  </si>
  <si>
    <t>Overview of AT&amp;T 802.11n and 802.11ac Patent Licensing Program</t>
  </si>
  <si>
    <t>Exemplary U.S. Patents</t>
  </si>
  <si>
    <t>US 6072769</t>
  </si>
  <si>
    <t>US 6127971</t>
  </si>
  <si>
    <t>US 6131016</t>
  </si>
  <si>
    <t>US 7120200</t>
  </si>
  <si>
    <t>US 8386898</t>
  </si>
  <si>
    <t>Patent License Fees (U.S. Dollars)</t>
  </si>
  <si>
    <t>Commercial Networking - Wireless access point devices and routers which are intended for commercial use.</t>
  </si>
  <si>
    <t>Prices are effective December 3, 2015.</t>
  </si>
  <si>
    <t>Consumer Electronics</t>
  </si>
  <si>
    <t>Future Yearly Royalty Caps</t>
  </si>
  <si>
    <t>Total Royalty Cap under the Patents</t>
  </si>
  <si>
    <t>2. Kyocera</t>
  </si>
  <si>
    <t>3. ZTE Corporation</t>
  </si>
  <si>
    <t>Overview of AT&amp;T MPEG-4 Patent Licensing Program</t>
  </si>
  <si>
    <t>MPEG-4 Video Program Patents</t>
  </si>
  <si>
    <t>MPEG-4 Part 2</t>
  </si>
  <si>
    <t>Video Decoder $0.16 per unit</t>
  </si>
  <si>
    <t>Video Encoder $0.16 per unit</t>
  </si>
  <si>
    <t>MPEG-4 Part 10 (H.264)</t>
  </si>
  <si>
    <t>MPEG-4 Part 10 Video Decoder</t>
  </si>
  <si>
    <t>$0.15 per unit for units 1-5M per calendar year</t>
  </si>
  <si>
    <t>$0.08 per unit for each unit over 5M per calendar year</t>
  </si>
  <si>
    <t>MPEG-4 Part 10 Video Encoder</t>
  </si>
  <si>
    <t>MPEG-4 Part 10 Video Codec</t>
  </si>
  <si>
    <t>Caps on Future Royalties</t>
  </si>
  <si>
    <t>MPEG-4 Part 2: $2.0M per calendar year</t>
  </si>
  <si>
    <t>MPEG-4 Part 10 (H.264): $3.75M per calendar year</t>
  </si>
  <si>
    <t>Enterprise Cap</t>
  </si>
  <si>
    <t>A Licensee’s payments for activities occurring prior to the Effective Date and for future royalty payments over the Term shall not exceed $50,000,000</t>
  </si>
  <si>
    <t>7. EchoStar Corporation</t>
  </si>
  <si>
    <t>Kyocera</t>
  </si>
  <si>
    <t>Sony Mobile</t>
  </si>
  <si>
    <t>Sisvel WiFi</t>
  </si>
  <si>
    <t>The remaining portion of the portfolio consists of implementation patents including video encoding optimization technologies.</t>
  </si>
  <si>
    <t>The royalty rates per consumer Wireless capable product for a Sisvel Wireless license under the Sisvel Wireless SEPs are as follows:</t>
  </si>
  <si>
    <t>Qualcomm</t>
  </si>
  <si>
    <t>Interdigital</t>
  </si>
  <si>
    <t>Ericsson</t>
  </si>
  <si>
    <t>Parkervision</t>
  </si>
  <si>
    <t>VirnetX</t>
  </si>
  <si>
    <t>IP Bridge</t>
  </si>
  <si>
    <t>Marathon Patent Group</t>
  </si>
  <si>
    <t>Rambus</t>
  </si>
  <si>
    <t xml:space="preserve">Tessera claims that her inventions are found in 100 percent of today’s smartphones </t>
  </si>
  <si>
    <t>1.  Note: fiscal years vary by company.</t>
  </si>
  <si>
    <t>Total Revenues</t>
  </si>
  <si>
    <t xml:space="preserve">What percentage of these revenues should be attributed to mobile phones? </t>
  </si>
  <si>
    <t>Quarter</t>
  </si>
  <si>
    <t>Global DRAM Revenue (billions $)</t>
  </si>
  <si>
    <t>Nanya Revenue, Global Mobile DRAM</t>
  </si>
  <si>
    <t>SK Hynix Revenue, Global Mobile DRAM</t>
  </si>
  <si>
    <t>Winbond Revenue, Global Mobile DRAM</t>
  </si>
  <si>
    <t>-</t>
  </si>
  <si>
    <t>Samsung Revenue in Millions, Global  Mobile DRAM</t>
  </si>
  <si>
    <t>Elpida Revenue in Millions, Global  Mobile DRAM</t>
  </si>
  <si>
    <t>Micron Group Revenue in Millions, Global  Mobile DRAM</t>
  </si>
  <si>
    <t>Total Revenue Millions, Global Mobile DRAM</t>
  </si>
  <si>
    <t>Mobile DRAM as % of Total DRAM Revenues</t>
  </si>
  <si>
    <t>Expressing the data annually, rather than quarterly we get:</t>
  </si>
  <si>
    <t>Global DRAM Revenues</t>
  </si>
  <si>
    <t>Sum of Mobile DRAM Revenues</t>
  </si>
  <si>
    <t>Mobile DRAM as % of Global DRAM</t>
  </si>
  <si>
    <t>Percent of Revenues from Mobile DRAM</t>
  </si>
  <si>
    <t>Estimated Revenues from Mobile DRAM</t>
  </si>
  <si>
    <t>Communications</t>
  </si>
  <si>
    <t>Automotive</t>
  </si>
  <si>
    <t>Industrial</t>
  </si>
  <si>
    <t>Intellectual Ventures</t>
  </si>
  <si>
    <t>Exchange Rate</t>
  </si>
  <si>
    <t>Orthophenix, LLC</t>
  </si>
  <si>
    <t>2015 10k</t>
  </si>
  <si>
    <t>2014 10k</t>
  </si>
  <si>
    <t xml:space="preserve">According to an IV presentation of 2012 </t>
  </si>
  <si>
    <t>• Samsung Nov. 2010</t>
  </si>
  <si>
    <t>• HTC Nov. 2010</t>
  </si>
  <si>
    <t>• RIM March 2011</t>
  </si>
  <si>
    <t>• Wistron Sept. 2011</t>
  </si>
  <si>
    <t>• Pantech Oct. 2011</t>
  </si>
  <si>
    <t>• LG Nov. 2011</t>
  </si>
  <si>
    <t xml:space="preserve">Interviews with industry experts yield the following information. </t>
  </si>
  <si>
    <t xml:space="preserve">Philips reports licensing revenues with its Innovation Group and Services unit.  </t>
  </si>
  <si>
    <t>Table of Contents</t>
  </si>
  <si>
    <t>Overview</t>
  </si>
  <si>
    <t>Alexander Galetovic, Stephen Haber, and Lew Zaretzki</t>
  </si>
  <si>
    <t>A New Dataset on Mobile Phone Patent License Royalties</t>
  </si>
  <si>
    <t>Confirmed</t>
  </si>
  <si>
    <t>ALL RIGHTS RESERVED</t>
  </si>
  <si>
    <t>Alexander Galetovic</t>
  </si>
  <si>
    <t>Stephen Haber</t>
  </si>
  <si>
    <t>Lew Zaretzki</t>
  </si>
  <si>
    <t>Lew@HamiltonIPV.com</t>
  </si>
  <si>
    <t>(650) 924-1769</t>
  </si>
  <si>
    <t>Managing Director</t>
  </si>
  <si>
    <t>Hamilton IPV</t>
  </si>
  <si>
    <t>To discuss the contents of this document, including improvements and suggestions, please contact the authors:</t>
  </si>
  <si>
    <t>http://stephen-haber.com</t>
  </si>
  <si>
    <t>haber@stanford.edu</t>
  </si>
  <si>
    <t>http://www.hoover.org/profiles/alexander-galetovic</t>
  </si>
  <si>
    <t>Professor of Economics</t>
  </si>
  <si>
    <t>Universidad de los Andes</t>
  </si>
  <si>
    <t>Santiago, Chile</t>
  </si>
  <si>
    <t>Palo Alto, California USA</t>
  </si>
  <si>
    <t>Los Altos, California USA</t>
  </si>
  <si>
    <t>alexander@galetovic.cl</t>
  </si>
  <si>
    <t>Documented</t>
  </si>
  <si>
    <t>Contact Information</t>
  </si>
  <si>
    <t>Citation Information</t>
  </si>
  <si>
    <t>Title page</t>
  </si>
  <si>
    <t>Introduction</t>
  </si>
  <si>
    <t>Acacia Technologies</t>
  </si>
  <si>
    <t>Summary</t>
  </si>
  <si>
    <t>ATT 802.11</t>
  </si>
  <si>
    <t>ATT MPEG4</t>
  </si>
  <si>
    <t>Via Licensing LTE</t>
  </si>
  <si>
    <t>Via Licensing AAC</t>
  </si>
  <si>
    <t>SISVEL LTE</t>
  </si>
  <si>
    <t>SISVEL WiFi</t>
  </si>
  <si>
    <t>ParkerVision</t>
  </si>
  <si>
    <t>1.0 Overview</t>
  </si>
  <si>
    <t>SISVEL Wireless</t>
  </si>
  <si>
    <t>Section 1.0</t>
  </si>
  <si>
    <t>Section 2.0</t>
  </si>
  <si>
    <t>Section 3.0</t>
  </si>
  <si>
    <t>Section 4.0</t>
  </si>
  <si>
    <t>Section 7.0</t>
  </si>
  <si>
    <t>Closing</t>
  </si>
  <si>
    <t>Section 5.0</t>
  </si>
  <si>
    <t>The entities within this section have declared patent licensing pools in technology areas relevant to mobile devices, such as mobile, wireless LAN, digital audio, or digital video standards.
We list each pool with its pool administrator.  For example, Via Licensing, a unit of Dolby Labs, administers the Via AAC pool on behalf of an array of patent owners possessing AAC SEPs.
The fact that each pool provides license to patents possessed by multiple or many patent owners distinguishes a patent pool from a patent licensing program in which an entity licenses only patents which it itself owns.</t>
  </si>
  <si>
    <t>2.3.1</t>
  </si>
  <si>
    <t>Alcatel-Lucent (Nokia)</t>
  </si>
  <si>
    <t>MPEGLA AVC H.264</t>
  </si>
  <si>
    <t>2003 Annual Report, Consolidated Statement of Operations, p51 of 77 in PDF, p50 in document</t>
  </si>
  <si>
    <t xml:space="preserve">2012 10-K, Consolidated Statement of Operations, p58 of 259 in PDF, exhibit F3. </t>
  </si>
  <si>
    <t>2006 Annual Report, Consolidated Statement of Operations, p70 of 98 in PDF, p56 in document</t>
  </si>
  <si>
    <t>For all essential patents: US $ 0.17 per device</t>
  </si>
  <si>
    <t>The current patent portfolio encompasses about 160 patent families in the field of mobile communications — more than 1000 patents registered in Europe, the US and Asia, most of which have been granted. Among these are 35 patent families that are standard-essential for the key mobile communications standards of 2G (GMS), 2.5G (GPRS), 3G (UMTS) and subsequent generations (3.9G)."</t>
  </si>
  <si>
    <t>As IPCom is privately held, with Fortress Investment Group being a major investor</t>
  </si>
  <si>
    <t>it is difficult to ascertain the magnitude of its business.</t>
  </si>
  <si>
    <t>IPCom did achieve what was purportedly a very significant settlement with Deutsche Telekom in 2013, with sources stating that it included "low-to-medium triple-digit million euro" royalties</t>
  </si>
  <si>
    <t>Blackberry also reportedly obtained a patent license.</t>
  </si>
  <si>
    <t>IPCom reportedly also obtained a set of Hitachi mobile patents, stating that "The Hitachi patents consist of 135 patents in 17 patent families, and cover important aspects of the UMTS standards. The technology is also present in the 3G standards CDMA 2000 and HSUPA."</t>
  </si>
  <si>
    <t>Optis acts as a privateer for a large portfolio of Ericsson, LG Electronics, and Panasonic mobile SEPs and non SEPs.</t>
  </si>
  <si>
    <t>Zoominfo states that it has only 1 to 5 million per year in revenue and depicts an exact figure of $2,400,000.</t>
  </si>
  <si>
    <t>Conclusions</t>
  </si>
  <si>
    <t>Licensing Activity</t>
  </si>
  <si>
    <t>A.A. and Jeanne Welch Milligan Professor in the School of Humanities and Sciences, Professor of Political Science, Professor of History Professor (by courtesy) of Economics at Stanford University, and Peter and Helen Bing Senior Fellow at the Hoover Institution</t>
  </si>
  <si>
    <t>IPCom manages significant mobile patent portfolios originated by Bosch and Hitachi.  These portfolios include purported mobile SEPs.</t>
  </si>
  <si>
    <t>IPCom has established royalty paying license agreements with Deutsche Telekom and Blackberry.</t>
  </si>
  <si>
    <t>As a private firm, IPCom provides little transparency into the magnitude of the patent licensing royalties it has earned or is earning, though it appears clear that it has earned some royalties, albeit reports suggest that it is unlikely to constitute a significant portion of total mobile industry patent licensing royalties.</t>
  </si>
  <si>
    <t>"IPCom was founded in 2007 ... Our core business is the global licensing of patents from our own portfolio to producers in industry.</t>
  </si>
  <si>
    <t>IPCom has made multi-billion dollar infringement claims against Apple, Nokia, HTC and others as well.</t>
  </si>
  <si>
    <t>It appears that IPCom is or has been earning royalties as a result of its DT and Blackberry deals, and perhaps others that may be confidential.  We do not believe that the magnitude of this single agreement is such that it would significantly affect the magnitude of total industry royalties.</t>
  </si>
  <si>
    <t>Pan Optis Patent Management and Optis Wireless Technology are associated firms privateering a large portfolio of mobile patents from Ericsson, LG and Panasonic and recently expanded its portfolio through the acquisition of Unwired Planet and its large portfolio of Ericsson patents, as well as the legacy Unwired Planet mobile non SEPs.</t>
  </si>
  <si>
    <t>Pan Optis Patent Management has been in business since 2009, while Optis was formed in 2013.</t>
  </si>
  <si>
    <t>ZoomInfo reports that Pan Optis/Optis had revenues of $2,400,000 since 2009, and we assume that all of this relates to smartphones.</t>
  </si>
  <si>
    <t>As a private firm, PanOptis/ Optis provides little transparency into the magnitude of the patent licensing royalties it may be earning, though it appears clear that it has earned some royalties, albeit its nascent licensing programs appear unlikely to constitute a significant portion of total mobile industry patent licensing royalties.</t>
  </si>
  <si>
    <t>We hope to learn more about the magnitude of PanOptis/ Optis' business in the future so as to enable a proper accounting of their contribution to industry patent licensing royalties.</t>
  </si>
  <si>
    <t>PanOptis/ Optis licenses Ericsson patents.  It  recently purchased Unwired Planet and assumed its role of privateering for a large portfolio of Ericsson mobile SEPs and non SEPs.</t>
  </si>
  <si>
    <t>We know that it has litigated against ZTE in 2016 (closed), Kyocera in 2016, and Blackberry in 2016.</t>
  </si>
  <si>
    <t>Vectis WiFi</t>
  </si>
  <si>
    <t>The firms in this section are private patent licensing entities having either a focus in mobile licensing, or at least a portion of their activities in the mobile licensing space.
Some firms may play a role in the mobile industry directly, while others may do so  indirectly through licensing of major suppliers upstream in the mobile value chain.
Numerous other private PAEs exist despite not appearing in these pages.  We sought to include those with the greatest apparent focus and relevance to the mobile industry.
In general, the firms in this category are highly opaque, making it extremely difficult to quantify the magnitude of their businesses.  We hope to learn more about the magnitude of role that each plays for the mobile industry in the future.</t>
  </si>
  <si>
    <t xml:space="preserve">IP Bridge is a Japanese PAE formed in 2013 by its principal investor Innovation Network Corporate of Japan (INCJ).  INCJ is a partnership between Japanese government entities such as METI and the Japanese tech industry.  One may view INCJ as a sort of sovereign wealth fund, and IP Bridge consequently as a sort of sovereign patent fund. </t>
  </si>
  <si>
    <t>In this role, IP Bridge has aggregated a substantial portfolio of patents from firms such as NEC, Panasonic, Funai Electric, Seiko Epson and others.</t>
  </si>
  <si>
    <t>We hope to learn more about the magnitude of IP Bridge's business in the future so as to enable a proper accounting of their contribution to industry patent licensing royalties.</t>
  </si>
  <si>
    <t>In 2016 IP Bridge has launced patent litigation campaigns against firms such as Broadcom, Omnivision, and TCL.</t>
  </si>
  <si>
    <t>As IP Bridge was only formed in 2013, and continues to aggregate new patent portfolios, its current licensing activity is likely a lagging indicator of what it may do in the future as it digests its new acquisitions and adds to them, and as it evolves its business model.</t>
  </si>
  <si>
    <t>"Founded in 2013, we at IP Bridge are engaging in new ways of managing intellectual property. We firmly believe that open innovation is the way of the future, where IP is easily available to anybody that has the drive and imagination to commercialize it, and in turn the creators of IP are rewarded fairly."</t>
  </si>
  <si>
    <t>"While IP Bridge will manage a large fund supported by several large corporations, chiefly the Innovation Network Corporation Japan, Inc., it is our principle goal to bring value and wealth to the lives of peoples around the world through open innovation. We all believe this will promote transparency in the IP market, reduce unreasonable legal disputes, and allow people and businesses to compete fairly in the open market."</t>
  </si>
  <si>
    <t>Since 2013, IP Bridge has assembled a portfolio including patents from Panasonic, NEC, Fujitsu Mobile Communications, Sanyo Electric, Visteon, Funai Electric, and Hitachi.</t>
  </si>
  <si>
    <t>IP Bridge has launced patent litigation campaigns against firms such as Broadcom, Omnivision, and TCL, but we find no records of concluded license agreements, settlements, or revenue.</t>
  </si>
  <si>
    <t>We have yet to uncover materials providing a more transparent view of IP Bridge's business.  While it appears that it is not privately held in the strictest sense, it is also not transparent in the fashion of a typical publicly traded company and provides little transparency into the magnitude of any patent licensing royalties it may be earning through its nascent IP licensing activities.</t>
  </si>
  <si>
    <t>SISVEL is a well known, long time patent pool administrator.  In 2011 SISVEL acquired a portfolio of Nokia mobile patents which it is now commercializing separately, referred to as the SISVEL Wireless portfolio.</t>
  </si>
  <si>
    <t>SISVEL offers licenses to the portfolio on a non-exclusive basis.  SISVEL does not disclose the existence of any license agreements, settlements, or royalty streams related to this portfolio.</t>
  </si>
  <si>
    <t>Products disposing on cellular connectivity make use of the Sisvel Wireless Patents. Examples of products making use of the Sisvel Wireless Patents are: mobile phones, smartphones, mobile hotspots, tablets with cellular connectivity, e-book readers with cellular connectivity, laptops with cellular connectivity and M2M devices with cellular connectivity.</t>
  </si>
  <si>
    <t>"Sisvel, at the end of 2011, acquired a portfolio of 47 patent families originally filed by Nokia. The portfolio consists of more than 500 patents and patent applications.</t>
  </si>
  <si>
    <t>The Sisvel Wireless Licensing Program covers technologies used in a wide range of mobile communications devices and services and includes the 33 of the 47 patent families acquired. These families consist of more than 450 patents and applications, that have been declared essential to second, third and fourth-generation communications standards, including GSM, WCDMA and LTE: these standard essential patents are referred to as Sisvel Wireless Patents.</t>
  </si>
  <si>
    <t>All companies selling products making use of cellular connectivity technology require a license under the Sisvel Wireless Patents. Sisvel is offering licenses under the Sisvel Wireless Patents on fair, reasonable, and non-discriminatory (FRAND) conditions.</t>
  </si>
  <si>
    <t>As a private firm, SISVEL provides little transparency into the magnitude of the patent licensing royalties it may be earning, though it appears clear that it has earned some royalties, albeit its nascent licensing programs appear unlikely to constitute a significant portion of total mobile industry patent licensing royalties.</t>
  </si>
  <si>
    <t>It is unclear as to whether SISVEL is earning any royalties through this program, though any agreements may simply be confidential.  We do not believe that the magnitude of this single agreement is such that it would significantly affect the magnitude of total industry royalties.</t>
  </si>
  <si>
    <t>We hope to learn more about the magnitude of SISVEL's Wireless portfolio business in the future so as to enable a proper accounting of their contribution to industry patent licensing royalties.</t>
  </si>
  <si>
    <t>The royalty shall be based on the number of units of licensed products manufactured, used, imported, offered for sale, sold, or otherwise disposed of by the Licensee in jurisdictions in which one of the Sisvel Wireless SEPs is issued and in force, and the royalty amount for each calendar year shall be calculated as follows:</t>
  </si>
  <si>
    <t>“Compliant Rates”: the reduced running royalty schedule below provides for a discount of 20% for future sales. Hence, provided that the licensee is in full compliance with its obligations under the Agreement then the royalty rate payable in respect of each licensed product shall be calculated as follows:</t>
  </si>
  <si>
    <t>License Terms (quoted from the SISVEL Wireless website)</t>
  </si>
  <si>
    <t>With these rates in hand, one could speculate as to the royalty revenues by estimating royalties for either selected or all firms in the industry.  However as we have no evidence that any firm has engaged in such arrangement, alternatively one could estimate that the total is zero.</t>
  </si>
  <si>
    <t>We hope to learn more about the magnitude of Vectis' business in the future so as to enable a proper accounting of their contribution to industry patent licensing royalties.</t>
  </si>
  <si>
    <t>"The royalty rate per end user 802.11 capable product for the Wi-Fi patents licensed by Vectis is as follows:</t>
  </si>
  <si>
    <t>For all implementation patents: US $ 0.075 per device"</t>
  </si>
  <si>
    <t>"Vectis offers a worldwide, non-exclusive, royalty bearing license to third parties under the Wi-Fi essential patents on fair, reasonable, and nondiscriminatory (FRAND) terms."</t>
  </si>
  <si>
    <t>Vectis is founded and lead by Giustino de Sanctis, formerly CEO of SISVEL.</t>
  </si>
  <si>
    <t>Wi-Fi patents licensable by Vectis as of August 1, 2015:</t>
  </si>
  <si>
    <t>As a private firm, Vectis provides little transparency into the magnitude of the patent licensing royalties it may be earning, though it appears clear that it has earned some royalties, albeit its nascent licensing programs appear unlikely to constitute a significant portion of total mobile industry patent licensing royalties.</t>
  </si>
  <si>
    <t>We presume that ZTE and Google are licensees for their mobile devices given their enrollment as licensors, as this is often compulsory for participation.</t>
  </si>
  <si>
    <t>Via Licensing does not provide information confirming other specific licensees, nor even the existence of any other specific licensees.  This differs from Via's treatment of its AAC pool, for which it lists many licensees.</t>
  </si>
  <si>
    <t>Major LTE licensors such as Qualcomm, Ericsson, Nokia and Interdigital remain absent as is customary for each with regard to mobile patent pools.</t>
  </si>
  <si>
    <t>Via's LTE pool enlisted licensors including ATT Intellectual Property, China Mobile, Clear Wireless, Deutsche Telekom AG, DTVG Licensing, Google, Hewlett Packard, KDDI, Newracom, NTT Docomo, SK Telecom, Telecom Italia , Telefonica SPA, and ZTE.   Via launched the pool in 2012.  Via lists no licensees at this time, so it is unclear as to whether Via generates royalties through this program, and if so the magnitude of such royalties.</t>
  </si>
  <si>
    <t>Via is a unit of publicly traded Dolby, but such matters appear immaterial and hence Dolby financial reporting does not provide insight into the productivity of this pool.</t>
  </si>
  <si>
    <t>Via details their royalty rates, which decline to $2.10/ unit at the highest tier.  This is a significant price/ unit for a pool lacking the scale of the leading portfolios, which likely disincents many licensees from enrolling.  This might change in the event that Via enlists additional licensors to the pool.</t>
  </si>
  <si>
    <t>Via, and parent Dolby, do not provide transparency into the productivity of this pool, and the combination of this fact as well as the rate and scale of the portfolio suggest that productivity may not be material in the context of the industry at this time.</t>
  </si>
  <si>
    <t>SISVEL is privately held and does not provide insight into the productivity of this pool.</t>
  </si>
  <si>
    <t>SISVEL's LTE pool enlisted licensors including Airbus, Bräu Verwaltungsgeselschaft mbH, CATT, ETRI, KPN, Orange, and TDF as well as a portfolio of Nokia patents acquired by SISVEL.  SISVEL launched the pool in 2012.  SISVEL lists no licensees at this time, so it is unclear as to whether SISVEL generates royalties through this program, and if so the magnitude of such royalties.</t>
  </si>
  <si>
    <t>SISVEL's listed licensors include no material mobile OEMs, so we cannot presume the existence of any licensees.</t>
  </si>
  <si>
    <t>SISVEL does not provide information confirming other specific licensees, nor even the existence of any other specific licensees.  This differs from SISVEL's treatment of its former mp3 pool, for which it lists many licensees.</t>
  </si>
  <si>
    <t>SISVEL does not provide transparency into the productivity of this pool, and the combination of this fact as well as the lack of mobile OEMs among the licensors and scale of the portfolio suggest that productivity may not be material in the context of the industry at this time.</t>
  </si>
  <si>
    <t>SISVEL details their royalty rates, which decline to as little as €0.25/ unit at the most advantageous public rate.</t>
  </si>
  <si>
    <t>SISVEL details their royalty rates, which decline to as little as €0.24/ unit at the most advantageous public rate.</t>
  </si>
  <si>
    <t>** Sisvel’s rights to grant sublicenses under the patents of Nokia Corporation within the Wi-Fi program are subject to certain restrictions and relate to the Printer Licensed Field only. Companies interested in a license under this program for the Printers field of use should contact Sisvel for further</t>
  </si>
  <si>
    <t>SISVEL has developed this pool with IP owners ETRI, Fraunhofer, Orange, KPN, as well as a portfolio acquired originating from Sanyo Electric, and a Nokia portfolio applicable only to the printer field.  SISVEL added several of these in 2015.</t>
  </si>
  <si>
    <t>If the pool is productive in the printer field by virtue of the Nokia patents provided there, this would be irrelevant to our interest in the impact on the mobile industry.</t>
  </si>
  <si>
    <t>Researched</t>
  </si>
  <si>
    <t>Approximated</t>
  </si>
  <si>
    <t>PanOptis-Optis</t>
  </si>
  <si>
    <t>AT&amp;T’s program licenses hardware and software capable of encoding and decoding content in compliance with the MPEG-4 Part 2 and MPEG-4 Part 10/H.264 standards. This typically involves mobile handsets, Smartphones, personal media players, game consoles, camcorders, digital still cameras, set-top boxes, broadcast equipment, video teleconferencing equipment and personal computer software. Prices effective January 1, 2012.</t>
  </si>
  <si>
    <t>AT&amp;T is administering a global, standards-based licensing program based on its portfolio of U.S. and foreign patents with claims essential to the practice of the ISO standards MPEG-4 Part 2 and MPEG-4 Part 10 (ISO/IEC 14496-2 and 11496-10) and the ITU-T standard H.264.</t>
  </si>
  <si>
    <t>We make this assumption because a firm would only need to produce 6.25m units per year to hit the cap for MPEG4 part 2, and 15.625 units per year to hit the cap for MPEG4 H.264.  It is possible that some firms may in fact have fallen short of the cap, but per our charter we are willing to accept the possibility of a relatively small overestimate</t>
  </si>
  <si>
    <t>$3,200,000 per year after the Effective Date of the license agreement (across Commercial Networking and Consumer Electronics combined).</t>
  </si>
  <si>
    <t>AT&amp;T’s program licenses products practicing 802.11n and/or 802.11ac standards. Two categories of products are licensed under the separate schedules below spanning:</t>
  </si>
  <si>
    <t>Consumer Electronics - Device types outside of Commercial Networking such as smartphones, tablets, PCs, laptops, gateways, SOHO/consumer routers, and set-top boxes.</t>
  </si>
  <si>
    <t>Consumer Electronics: $0.12 per unit</t>
  </si>
  <si>
    <t>Commercial Networking: $0.27 per unit</t>
  </si>
  <si>
    <t>A Licensee’s total royalty payments for Commercial Networking and Consumer Electronics products sold prior to or after the Effective Date shall not exceed $30,000,000.</t>
  </si>
  <si>
    <t>Patent Sales Revenue</t>
  </si>
  <si>
    <t>Annual Report 2006, p35 (82 of 139 in pdf)</t>
  </si>
  <si>
    <t>Annual Report 2007, p61 (86 of 148 in PDF)</t>
  </si>
  <si>
    <t>Annual Report 2008, p58, (78 of 166 in PDF)</t>
  </si>
  <si>
    <t>Annual Report 2008, p56 (page 76 of 166 in PDF)</t>
  </si>
  <si>
    <t>Annual Report, 2011, p62. (Consolidated Statement of Income did not give breakdown of revenues by source), page 72 of 196 of PDF</t>
  </si>
  <si>
    <t>Annual Report 2012, Consolidated Statements of Income, p66 (pge 76 of 188 in PDF)</t>
  </si>
  <si>
    <t>Annual Report 2013, Consolidated Statements of Income, p73, (83 of 232 in PDF)</t>
  </si>
  <si>
    <t>Annual Report 2015, Consolidated Statements of Income, p75 (page 85 of 212 of PDF)</t>
  </si>
  <si>
    <t xml:space="preserve">Annual Report 2015, Consolidated Statements of Income, p75 (page 85 of 212 of PDF), </t>
  </si>
  <si>
    <t>Licensing Revenues ($USD)</t>
  </si>
  <si>
    <t>Exchange Rate (Year End)</t>
  </si>
  <si>
    <t>Licensing Revenue (€m)</t>
  </si>
  <si>
    <t>Nokia Technologies ($m)</t>
  </si>
  <si>
    <t>Nokia Technologies BU revenue ($m)</t>
  </si>
  <si>
    <t>Ericsson IPR Licenses ($US)</t>
  </si>
  <si>
    <t>Reported Ericsson IPR Licensing (SEK, NET)</t>
  </si>
  <si>
    <t>Patent Licensing Revenue ($US)</t>
  </si>
  <si>
    <t>Patent Revenue Subtotal ($US)</t>
  </si>
  <si>
    <t>Technology Solutions Revenue ($US)</t>
  </si>
  <si>
    <t>Revenue ($US)</t>
  </si>
  <si>
    <t>2005 10K, Consolidated Statement of Operations, p74 of 112 in PDF, pF4</t>
  </si>
  <si>
    <t xml:space="preserve">2098 10k , Consolidated Statement of operations, p121 of  224 in PDF, pF3 in document. </t>
  </si>
  <si>
    <t>2011 10-K, Consolidated Statement of Operations, p59 of 110 in PDF, pF3</t>
  </si>
  <si>
    <t xml:space="preserve">2015 10-K, Consolidated Statement of Operations, p104 of PDF, Exhibit pf-3, </t>
  </si>
  <si>
    <t>Philips has long had a large, active patent licensing program.</t>
  </si>
  <si>
    <t>Philips has long been a leader in SEP licensing, including through an array of patent pools.</t>
  </si>
  <si>
    <t>Relevant Revenues ($US)</t>
  </si>
  <si>
    <t>Smartphone patent Licensing (€)</t>
  </si>
  <si>
    <t>Innovation, Group &amp; Services Unit (€)</t>
  </si>
  <si>
    <t>Revenues ($US)</t>
  </si>
  <si>
    <t>VirnetX holds a patent portfolio relevant to mobile standards but has little demonstrated royalty revenue.  VirnetX states that it has entered into patent license agreements with the following additional firms: Avaya Inc., Aastra USA, Inc., Mitel Networks Corporation, NEC Corporation and NEC Corporation of America, Siemens Enterprise Communications GmbH &amp; Co. KG, and Siemens Enterprise Communications Inc.  VirnetX states that these licenses included "a one-time payment and an ongoing royalty for all future sales through the expiration of the licensed patents with respect to certain current and future IP-encrypted products."</t>
  </si>
  <si>
    <t>VirnetX established a $23m royalty bearing license subsequent to achieving a large district court damages award with Microsoft years ago.  "Microsoft received a worldwide, irrevocable, nonexclusive, non-sublicensable, royalty-free, fully paid-up license to all ... patents".</t>
  </si>
  <si>
    <t>VirnetX states the following:</t>
  </si>
  <si>
    <t>"We develop software and technology solutions for securing real-time communications over the Internet. Our patented GABRIEL Connection Technology™ combines industry standard encryption protocols with our patented techniques for automated domain name system, or DNS, lookup mechanisms, and enables users to create a secure communication link using secure domain names over wired or wireless (4G/LTE) networks."</t>
  </si>
  <si>
    <t>"Our portfolio of intellectual property is the foundation of our business model. We currently own over 100 U.S. and international patents with over 75 pending applications. Our patent portfolio is primarily focused on securing real-time communications over the Internet, as well as related services such as the establishment and maintenance of a secure domain name registry. Our patented methods also have additional applications in the key areas of device operating systems and network security for Cloud services, M2M communications in areas of Smart City, Connected Car and Connected Home."</t>
  </si>
  <si>
    <t>VirnetX's public financial reporting suggests that its business represents a small but quantifiable minority of patent licensing activity in the mobile industry.  While VirnetX's licensees are not exclusively mobile industry participants, and in fact little or perhaps even none of its royalties may accrue from licensing of mobile devices, based upon our charter we assume all of its royalties to relate to mobile.  This will ensure that our estimates are overly inclusive.</t>
  </si>
  <si>
    <t>SEC 10K 2015,p 25</t>
  </si>
  <si>
    <t>Net Revenues ($US)</t>
  </si>
  <si>
    <t>In 2016, Unwired Planet sold its patent licensing business to PanOptis.  Unwired Planet no longer operates any patent licensing business.</t>
  </si>
  <si>
    <t>Unwired Planet was a PAE that enforced the mobile device patent portfolio that had belonged to Openwave, a software company that at one time was an important developer of mobile browsers and also a large portfolio of Ericsson mobile SEPs. Unwired Planet was created in October 2012, when Openwave sold off its product businesses and focused solely on patent licensing.   Unwired Planet's arrangement with Ericsson involved a revenue sharing component.  Our Ericsson tabluations, found elsewhere in this workbook, should contain any proceeds transferred to Ericsson as a result of Unwired Planet's operations.</t>
  </si>
  <si>
    <t>Licensing Revenues ($US)</t>
  </si>
  <si>
    <t>Summary and Conculsions</t>
  </si>
  <si>
    <t>Summary and Conclusions</t>
  </si>
  <si>
    <t>Medical Tech Revenues ($)</t>
  </si>
  <si>
    <t>Revenues ($)</t>
  </si>
  <si>
    <t>Non Medical Revenues ($)</t>
  </si>
  <si>
    <t>Huawei is a private company, but does publish financial reports providing some perspective on its operations.  However it has not historically discussed its licensing business.  However we can see from Huawei's market activities such as its lawsuits against Samsung and ZTE that it has begun to develop this business.  Discussions in the industry indicate that Huawei has engaged with other companies against which it has not filed patent litigation.</t>
  </si>
  <si>
    <t>Unconfirmed journalist reports state that Huawei has formed a patent license with Apple.  If so, this could further suggest that Huawei is building a patent licensing business.</t>
  </si>
  <si>
    <t>Huawei's fact sheet states that:  "In the area of LTE, Huawei holds over 15% of all essential patents and is an industry leader in this area."  Other major SEP owners with similar quantities of SEPs such as Qualcomm, Ericsson, Nokia and Interdigital have built large licensing businesses and therefore we speculate that Huawei may be attempting to do so, and may successfully do so in the future.</t>
  </si>
  <si>
    <t>A May 10 2016 artice in IAM stated that:</t>
  </si>
  <si>
    <t>"... Huawei’s head of IP monetisation Haitsing Li shared figures which showed that Chinese companies collectively made around $500 million from licensing out their patents back in 2012.  Twelve months later, this had ballooned to $1.36 billion, with Li estimating that the data would show $2 billion in licensing revenue by the end of 2014. As one of China’s very few holders of super-size patent portfolios containing seminal assets  and with global coverage, then it is probably fair to speculate that a significant portion of that "</t>
  </si>
  <si>
    <t>Expert interviews</t>
  </si>
  <si>
    <t>FY (9/30)</t>
  </si>
  <si>
    <t>2013 10K, Results of Operations, p40 of 164 in PDF, FYE sept 30; also Consolidated Statement of Operations, p56 of 164 in PDF, Exhibit F3</t>
  </si>
  <si>
    <t>2014 10-K, Results of Operations, p41 of 105 in PDF, FYE Sept 30; Also Consolidated Statement of Operations, p58 of 105 in PDF, Exhibit F3</t>
  </si>
  <si>
    <t>2004 Annual Report, Consolidated Statement of Operations, p58 of 86 in PDF, p54 in document</t>
  </si>
  <si>
    <t>2002 Annual Report, Consolidated Statement of Operations, p59 of 90</t>
  </si>
  <si>
    <t>2010 10-K, Consolidated Statement of Operations, p64 of 102 in PDF, pF3, FYE 9/30</t>
  </si>
  <si>
    <t>Smartphone Related Royalties ($US)</t>
  </si>
  <si>
    <t>List</t>
  </si>
  <si>
    <t>Gartner-Devices Sold to End Users</t>
  </si>
  <si>
    <t>Year 
(Ends Dec 31)</t>
  </si>
  <si>
    <t xml:space="preserve">Feature 
Phones </t>
  </si>
  <si>
    <t>Smartphone 
Price</t>
  </si>
  <si>
    <t>IDC vs web source #1 %</t>
  </si>
  <si>
    <t>Source 2</t>
  </si>
  <si>
    <t>Source 1</t>
  </si>
  <si>
    <t>GFK Data</t>
  </si>
  <si>
    <t>IDC Smartphone Data</t>
  </si>
  <si>
    <t>IDC- Devices Shipped</t>
  </si>
  <si>
    <t>% 
Smartphones</t>
  </si>
  <si>
    <t>Smartphone 
Revenues</t>
  </si>
  <si>
    <t xml:space="preserve"> IDC/ 
websource %</t>
  </si>
  <si>
    <t>% Smartphones Unlicensed</t>
  </si>
  <si>
    <r>
      <t>Year</t>
    </r>
    <r>
      <rPr>
        <u/>
        <vertAlign val="superscript"/>
        <sz val="12"/>
        <color theme="1"/>
        <rFont val="Calibri"/>
        <family val="2"/>
        <scheme val="minor"/>
      </rPr>
      <t>1</t>
    </r>
  </si>
  <si>
    <t>IDC Total  Gartner Total</t>
  </si>
  <si>
    <t xml:space="preserve">How much of this can be attributed to mobile phones is not known, but some clearly is based upon announced licenses with several major mobile OEMs. </t>
  </si>
  <si>
    <t>http://www.marketwatch.com/story/myhrvolds-patent-firm-sees-revenue-swell-2011-03-04?reflink=MW_news_stmp</t>
  </si>
  <si>
    <t>(Mar 4, 2011) "The Wall Street Journal’s ECO:nomics Conference in Santa Barbara, Calif., Myhrvold — a former Microsoft Corp. executive — mentioned that Intellectual Ventures saw $700 million in licensing revenue last year.
An Intellectual Ventures spokeswoman confirmed the figure, and added that the firm’s total licensing revenue to date amounts to roughly $2 billion. Bellevue, Wash.-based Intellectual Ventures was founded by Myhrvold in 2000."</t>
  </si>
  <si>
    <t>"To date, we have ... cumulative licensing revenues exceeding $3 billion."  IV is known to pursue licensing programs across a broad array of markets and geographies.</t>
  </si>
  <si>
    <t>"Intellectual Ventures (IV) is a privately-held invention capital company with one of the world’s largest and fastest growing invention portfolios…"</t>
  </si>
  <si>
    <t>Licencess as of 2012 include:</t>
  </si>
  <si>
    <t>Q4</t>
  </si>
  <si>
    <t>Q3</t>
  </si>
  <si>
    <t>Q2</t>
  </si>
  <si>
    <t>Q1</t>
  </si>
  <si>
    <t>FY2015</t>
  </si>
  <si>
    <t>FY2014</t>
  </si>
  <si>
    <t>FY2013</t>
  </si>
  <si>
    <t>FY2012</t>
  </si>
  <si>
    <t>% Patent Lic.</t>
  </si>
  <si>
    <t>2015 Volumes</t>
  </si>
  <si>
    <t>0-2.5m</t>
  </si>
  <si>
    <t>2.5-6.25m</t>
  </si>
  <si>
    <t>6.25-12.5m</t>
  </si>
  <si>
    <t>12.5-25m</t>
  </si>
  <si>
    <t>25-50m</t>
  </si>
  <si>
    <t>&gt;50m</t>
  </si>
  <si>
    <t>We divide each annual figure into equal quarters by producer.</t>
  </si>
  <si>
    <t>Royalty/ Unit</t>
  </si>
  <si>
    <t>"All manufacturers that execute a Joint License Agreement (JLA) for W-CDMA Terminals within a timeframe of 6 months from initial contact with Sipro will benefit from the following incentives:</t>
  </si>
  <si>
    <t>Volume discounts indicated in Table 1 will apply to Royalty rates indicated in Table 2 for Licensed Products Sold prior to the execution of a JLA;</t>
  </si>
  <si>
    <t>Total Estimate</t>
  </si>
  <si>
    <t>2015 Estimated by Quarter</t>
  </si>
  <si>
    <t xml:space="preserve">The royalty table from SIPRO sets different rates for each year of the agreement as of 2012. </t>
  </si>
  <si>
    <t>Knowing neither the existence of, nor the identities of any licensees, we assume that all smartphone producers pay the license fee, based on data on 2015 unit sales from IC Insights:</t>
  </si>
  <si>
    <t>We concede that this estimate is extremely conservative owing to our assumption that the pool has signed licensees as described.  The pool provides no information confirming the existence of any licensees not also enrolled as licensors, so the true figure may be vastly lower.</t>
  </si>
  <si>
    <t>2015 Quarterly Royalties Estimated by Tier</t>
  </si>
  <si>
    <t>Typically licensors must also be licensees, provided that they produce the products subject to licenses.  The licensor list includes several firms known for producing mobile devices in the past, though no major market participants (based upon volume).  SIPROLabs makes no representations as to the existence of other licensees, particularly large licensees.</t>
  </si>
  <si>
    <t>Licensing Fees by Tier</t>
  </si>
  <si>
    <t xml:space="preserve">This introduction explains the sources and methods used by Alexander Galetovic,  Stephen Haber, and Lew Zaretzki to estimate the cumulative royalty yield on mobile phones. </t>
  </si>
  <si>
    <t>As % Smartphones</t>
  </si>
  <si>
    <t>As % of Smartphones</t>
  </si>
  <si>
    <t>Discussions with market participants suggest that there may be at least one other material licensee, but it is unlikely that the pool has licensed a signiicant proportion of target products in the market.  As a first order approximation, it probably licenses to 10% of the market.</t>
  </si>
  <si>
    <t xml:space="preserve">In order to approximate the revenues of SIPROlabs WCDMA pool we therefor proceed in two steps.  First, we use SIPROlabs published licensing schedule plus data on output by OEMs to estimate the pool's revenues if !00% of OEMs licensed this pool. Second, we discount that estimate by 90% on the assumption that SIPROlabs is actually licensing 10% of the market. </t>
  </si>
  <si>
    <t>Total Estimated Royalties if 100 percent coverage</t>
  </si>
  <si>
    <t>FY</t>
  </si>
  <si>
    <t>We include Patent Sales as well as Patent Licensing in order to create upper bound estimates. The logic is that the firm can either earn income from licensing (renting) its patents or from selling them. Selling a patent necessarily reduces patent licensing income n the future.  Hence, we treat sales as if licenses</t>
  </si>
  <si>
    <t>Sisvel LTE</t>
  </si>
  <si>
    <t>A search found no record of patent litigation or transactions involving Vectis.  We also note that Vectis was only created in 2015.</t>
  </si>
  <si>
    <t>Vectis WiFI</t>
  </si>
  <si>
    <t>ParkerVision attempted to build a business as a mobile semiconductor company but failed in the marketplace and sought instead to develop a patent licensing business.  Thus far its public financial records indicate no track record of success in generating patent royalties though its efforts continue.</t>
  </si>
  <si>
    <t>Sec 10K 2011,p. 20</t>
  </si>
  <si>
    <t>Sisvel Wireless</t>
  </si>
  <si>
    <t>It does, however, disclose the existence of licensing agreements on other portfolios.</t>
  </si>
  <si>
    <t>We hope to learn more about the magnitude of IPCom's business in the future so as to enable a more proper accounting of their contribution to industry patent licensing royalties.</t>
  </si>
  <si>
    <t>In 2010, Nathan Myhrvold, responding to investor unrest, reported that the company earned $700 million in licensing revenue that year.  Joff Wild, “IV revenues hit $2 billion as recent deals show firm's links with other major market players,” IAM blog (March 5, 2011). Available at http://www.iam-media.com/blog/detail.aspx?g=03A44DF3-787B-405E-9D5E-69136E93A5B3, accessed August 20, 2016. See also Jon Letzing, “Myhrvold’s patent firm sees revenue swell,” Mar-ketWatch (March 4, 2011). Available at http://www.marketwatch.com/story/myhrvolds-patent-firm-sees-revenue-swell-2011-03-04, accessed August 20, 2016.</t>
  </si>
  <si>
    <t>We therefore estimate IV's mobile phone licensing to OEMs as follows.  If take the $700 million figure for 2010 as reliable.  If it had earned roughly $2 billion by 2010, that means that it either earned 1.3 billion from 2000 to 2009.   That means that from 2000 to 2009 it earned $130m per year.  This would be on the high side, because the Seattle Times reported the figure through 2009 a $1 billion or 100 million per year</t>
  </si>
  <si>
    <t>IV has a broad portfolio that spans many technologies.  A liberal estimate would be that it earns 1/3 of its revenues in the mobile telephone value chain.</t>
  </si>
  <si>
    <t>We therefore estimate IV's revenues as 33 percent of $130 million from 2000 through 2009, 33% of $700 million in 2010, and 33 percent of 200 million from 2011 through 2012.</t>
  </si>
  <si>
    <t>1.4.1</t>
  </si>
  <si>
    <t>Revenues by Licensor</t>
  </si>
  <si>
    <t>Total
Royalties</t>
  </si>
  <si>
    <t>Value Smartphones Shipped</t>
  </si>
  <si>
    <t>Estimated Mobile Phone Based Patent Licensing Revenue ($m)</t>
  </si>
  <si>
    <t>4.0 Patent Pools</t>
  </si>
  <si>
    <t>3.10</t>
  </si>
  <si>
    <t>3.11</t>
  </si>
  <si>
    <t>3.12</t>
  </si>
  <si>
    <t>2.0 Mobile Patent Licensing Royalty Leaders</t>
  </si>
  <si>
    <t>2.0 Patent Licensing Royalty Leaders</t>
  </si>
  <si>
    <t>3.0 Other Public Corporations</t>
  </si>
  <si>
    <t>Other Private Corporations</t>
  </si>
  <si>
    <t>Other Public Corporations</t>
  </si>
  <si>
    <t>5.0 Other Private Corporations</t>
  </si>
  <si>
    <t>6.0 Other Identified Entities for Future Consideration</t>
  </si>
  <si>
    <t>7.0 Closing</t>
  </si>
  <si>
    <t>Public Corp</t>
  </si>
  <si>
    <t>Private Corp</t>
  </si>
  <si>
    <t>Pool</t>
  </si>
  <si>
    <t>Data Type</t>
  </si>
  <si>
    <t>Entity Type</t>
  </si>
  <si>
    <t>1.5.1</t>
  </si>
  <si>
    <t>Sensitivity</t>
  </si>
  <si>
    <t>Device Sales</t>
  </si>
  <si>
    <t>OEM Sales</t>
  </si>
  <si>
    <t>Fig: Royalty Yield Series</t>
  </si>
  <si>
    <t>Royalty Yield Series</t>
  </si>
  <si>
    <t>Nokia Technologies Revenues</t>
  </si>
  <si>
    <t>Start</t>
  </si>
  <si>
    <t>Data</t>
  </si>
  <si>
    <t>Entity</t>
  </si>
  <si>
    <t>Foot</t>
  </si>
  <si>
    <t>Subtotal by Data Type</t>
  </si>
  <si>
    <t>Estimates of Patent Licensing Royalties on Mobile Phones ($US)</t>
  </si>
  <si>
    <t>Mobile Phone Revenues</t>
  </si>
  <si>
    <t>Derivation</t>
  </si>
  <si>
    <t>10K, 2009, p 40</t>
  </si>
  <si>
    <t>% Irrelevant</t>
  </si>
  <si>
    <t>% Potentially Relevant</t>
  </si>
  <si>
    <t>% Comm.</t>
  </si>
  <si>
    <t>% Revenues from Licensing</t>
  </si>
  <si>
    <t>% Patent Licensing Royalties</t>
  </si>
  <si>
    <t>Patent Licensing Royalties</t>
  </si>
  <si>
    <t>Rambus 10k, 2011, p37; 10K, 2009, p32</t>
  </si>
  <si>
    <t>Rambus 10k, 2011, p37; 10k, 2011, p43</t>
  </si>
  <si>
    <t>Rambus 10K, 2012, p51; 10K, 2012, p51</t>
  </si>
  <si>
    <t>Rambus, 10K 2015, p30; 10k 2014</t>
  </si>
  <si>
    <t>Rambus, 10K 2015, p30; 10k 2015</t>
  </si>
  <si>
    <t>Rambus, 10K 2015, p 0; 10k 2015</t>
  </si>
  <si>
    <t>We can now estimate Rambus' patent licensing revenues on mobile phones on the assumption that the distribution of its revenues between mobile and other reflects that of the DRAM industry.</t>
  </si>
  <si>
    <t xml:space="preserve">Rambus is primarily in the DRAM business, and DRAM is used in a wide variety of applications.  We therefore retrieved data on the percent of the DRAM market that is Mobile DRAM, as opposed to other applications.  The data is as follows. </t>
  </si>
  <si>
    <t>Statista study and statistics (sourced from DRAMExchange)</t>
  </si>
  <si>
    <t>Statista statistics (sourced from DRAMExchange)</t>
  </si>
  <si>
    <t>Rambus is among the largest public companies focused in patent licensing, having generated &gt; $2b in royalties over 10 years.  As such, Rambus provides a relatively transparent view of the magnitude of its business, but because it is not focused explicitly upon licensing the mobile phone market it does not report on this basis.  Rambus is well known for its licensing programs based upon its proprietary RD-RAM technology and many licensed products likely are designed into mobile devices.  We assume that a material portion of Rambus royalties relate to the mobile device value chain.</t>
  </si>
  <si>
    <t>Of Rambus's estimated $262 m in 2015 royalties, we estimate that ~32% or ~$96m in 2015 relate to mobile devices.</t>
  </si>
  <si>
    <t>"Rambus creates cutting-edge semiconductor and IP products, spanning memory and interfaces to security, smart sensors and lighting. Our chips, customizable IP cores, architecture licenses, tools, services, software, training and innovations improve the competitive advantage of our customers. We collaborate with the industry, partnering with leading ASIC and SoC designers, foundries, IP developers, EDA companies and validation labs.  Our products are integrated into tens of billions of devices and systems."- Rambus, 2015 10K, p5</t>
  </si>
  <si>
    <t>"In 2015, we continued our transition from a pure IP licensing model to one that delivers increasing value to the market through physical products. While celebrating our 25th anniversary, we launched our first branded product, the R+ DDR4 server memory chip for RDIMMs and LRDIMMs and revealed our Smart Data Acceleration research program to improve data center performance. At the same time, we continued to execute on our traditional patent licensing business…"- Rambus 2015 10k, p26</t>
  </si>
  <si>
    <t>Rambus licensees include AMD, Broadcom, Cisco, Freescale, Fujitsu, GE, IBM, Intel, LSI, Micron, Nanya, Panasonic, Qualcomm, Renesas, Samsung, Hynix, STMicro, and Toshiba.</t>
  </si>
  <si>
    <t>Royalty Revenues 
(excl. brokerage)</t>
  </si>
  <si>
    <t>Given WiLAN's historical focus in Wireless, and in the interest of biasing up, we assume all WiLAN royalties relate to the mobile phone value chain.</t>
  </si>
  <si>
    <t>Acacia is among the larger public companies focused in patent licensing, having generated &gt; $xb in royalties over 10 years.  As such, Acacia provides a relatively transparent view of the magnitude of its business, but because it is not focused explicitly upon licensing the mobile phone market it does not report on this basis.  Acacia is well known for a large and diverse array licensing programs (&gt; 185 portfolios), including some focused on mobile devices such as its ACCESS, Adaptix, and CCE licensing programs among others.  We assume that a material portion of Acacia's royalties relate to mobile devices.</t>
  </si>
  <si>
    <t>We assume that all non-medical licensing revenues are from licensing programs targeting smartphone OEMs.  We calculate those as follows:</t>
  </si>
  <si>
    <t>In the interest of biasing too high, we make the conservative assumption that all of Acacia's royalty revenue generated outside of the medical tech area related to mobile phones.</t>
  </si>
  <si>
    <t>"Acacia is the industry leader in outsourced patent licensing. By partnering with patent owners, Acacia applies its deep legal and technology expertise to patent assets to unlock financial value.  An intermediary in the patent market, Acacia facilitates efficiency and delivers monetary rewards to the patent owner. With this strategy, Acacia has generated over $1,300,000,000 revenue to date, and has returned approximately $705,000,000 to our patent partners... Acacia is expanding its highly scalable business by growing its number of licensing programs, and is pursuing new growth opportunities in the energy, medical, consumer electronics and automotive technology sectors. Acacia has recently announced patent partnerships with Renesas Corporation, VoiceAge Corporation, Silicon Image, Boston Scientific, Nokia Siemens Networks, Rambus Corp and Breed Automotive technologies."- Acacia Technologies Fact Sheet, Q2 2016</t>
  </si>
  <si>
    <t>Acacia highlights its many mobile phone related programs in its investor presentations, giving the impression that these are its most important focus.  In the interest of biasing too high, we make the conservative assumption that all of Acacia's royalty revenue generated outside of the medical tech area related to mobile phones.</t>
  </si>
  <si>
    <t>% of Revenue</t>
  </si>
  <si>
    <t>Amount</t>
  </si>
  <si>
    <t>Subsidiary</t>
  </si>
  <si>
    <t>"Marathon is an IP licensing and commercialization company. The Company acquires and manages IP rights from a variety of sources, including large and small corporations, universities and other IP owners. Marathon has a global focus on IP acquisition and management. The Company's commercialization division is focused on the full commercialization lifecycle which includes discovering opportunities, performing due diligence, providing capital, managing development, protecting and developing IP, assisting in execution of the business plan, and realizing shareholder value."</t>
  </si>
  <si>
    <t>"Marathon Patent Group has a very diverse portfolio of patents.  We are “technology agnostic,” meaning we have no biases in favor of any particular field of invention."  The Marathon website highlights 10 technology areas within which Marathon operates 28 subsidiaries, none of which overtly appear focused on mobile phones or smartphones specifically.</t>
  </si>
  <si>
    <t>The company states that 37% of its portfolio relates to wireless, and 6% to mobile handsets.</t>
  </si>
  <si>
    <t>The company states that it holds 19 portfolios with a total of 327 patents.</t>
  </si>
  <si>
    <t>Licenses</t>
  </si>
  <si>
    <t>Revenues</t>
  </si>
  <si>
    <t>Potential Percent of Revenues from Mobile Phones:</t>
  </si>
  <si>
    <t>Marathon is a well known public patent licensor.  As such, the magnitude of its business is clear, but as it has a technologically diverse portfolio and set of licensing campaigns, and does not focus on licensing the mobile phone space we do not have clarity on the degree to which its business focuses in mobile phones.</t>
  </si>
  <si>
    <t>Marathon discusses a number of its licensing campaigns in detail, none of which appear mobile phone related.</t>
  </si>
  <si>
    <t>Based upon Marathon's disclosures regarding its activities, we believe it has historically focused its licensing outside the mobile phone space.  We assume that $0 of its royalty revenues accrue from licensing in the mobile phone space.</t>
  </si>
  <si>
    <t>Qualcomm QTL BU Revenues ($US)</t>
  </si>
  <si>
    <t>Non Phone Related Royalties ($US)</t>
  </si>
  <si>
    <t>Nokia is among the world's leading providers of carrier network equipment, particularly mobile broadband equipment.  Furthermore, Nokia's Technologies business unit is among the world's leading licensors and targets mobile OEMs with its massive portfolio of mobile SEPs.</t>
  </si>
  <si>
    <t>Ericsson is the world's leading provider of mobile infrastructure, and also a major patent licensor focused on licensing mobile device OEMs with its massive portfolio of mobile SEPs..</t>
  </si>
  <si>
    <t>Qualcomm, via its QTL business unit, is arguably the preeminent firm in patent licensing history, and focuses pincipally upon licensing mobile OEMs with its massive portfolio of mobile SEPs.</t>
  </si>
  <si>
    <t>Alcatel Lucent resulted from a merger of 2 of the world's largest providers of carrier and enterprise network equipment and their respective patent portfolios.  Alcatel-Lucent was acquired by Nokia and is being integrated with its Nokia Networks business.</t>
  </si>
  <si>
    <t xml:space="preserve">Interdigital is among the largest patent licensors, and focuses pincipally upon licensing mobile OEMs with its massive portfolio of mobile SEPs. </t>
  </si>
  <si>
    <t>Microsoft Patent Licensing Revenues from Windows Phone and Phone Patents</t>
  </si>
  <si>
    <t>6.0 Other Identified Firms</t>
  </si>
  <si>
    <t>1.  Apple</t>
  </si>
  <si>
    <t>%</t>
  </si>
  <si>
    <t>Amount ($m US)</t>
  </si>
  <si>
    <t>Inferred</t>
  </si>
  <si>
    <t>Costs</t>
  </si>
  <si>
    <t>Profits</t>
  </si>
  <si>
    <t>Category</t>
  </si>
  <si>
    <t>Metric</t>
  </si>
  <si>
    <t>Assumption</t>
  </si>
  <si>
    <t>% Mobile Phones Unlicensed</t>
  </si>
  <si>
    <t>As % of Feature and Smartphones</t>
  </si>
  <si>
    <t>Value Feature and Smartphones Shipped</t>
  </si>
  <si>
    <t>Effective Smartphone Royalties Charged by  "Other" licensors as a group ($m):</t>
  </si>
  <si>
    <t>Effective Mobile Phone Royalties Charged by  "Other" licensors as a group ($m):</t>
  </si>
  <si>
    <r>
      <t xml:space="preserve">There are firms that appear to earn some patent licensing royalties from the mobile phone value chain, but there is limited information in the public domain about the magnitudes.  Some large, public companies (some of which are mobile phone OEMs) earn some patent licensing revenues, but their licensing activities are not significant enough to be a reportable segment in their financial statements. Some of these firms, or EMSs that produce for them, are also major sources of licensing revenue for other firms covered in this study.  There are also small private companies that appear to earn some some patent licensing royalties from the mobile phone value chain, but the publicly available information about their revenues and operations is fragmentary. We provide a list of some firms below that are in these two groups.  The available evidence does not suggest  any one of these firms--public or private--individually has licensing revenues significant enough that its addition would have a material effect on the overall magnitude of the cumulative royalty yield.
In addition, there are numerous small patent monetization companies (sometimes referred to as NPES or PAEs) that we have not been able to identify, and it is common for firms like this to create sub-entities that manage individual portfolios, some of which might earn revenues from the mobile phone value chain.  It is likely that these small patent monetization companies, as a group, are at least as important as some of the individual public and private companies that we have been able to identify and list below. 
Some readers might wish to know about the effect that the inclusion of licensing revenues earned by these firms --large, public companies, small private companies, and small patent monetization companies--as a group, would have on the cumulative royalty yield.  We therefore, provide a sensitivity analysis, in Tab 1.6 </t>
    </r>
    <r>
      <rPr>
        <i/>
        <sz val="12"/>
        <color theme="1"/>
        <rFont val="Calibri"/>
        <family val="2"/>
        <scheme val="minor"/>
      </rPr>
      <t>Sensitivity Analysis</t>
    </r>
    <r>
      <rPr>
        <sz val="12"/>
        <color theme="1"/>
        <rFont val="Calibri"/>
        <family val="2"/>
        <scheme val="minor"/>
      </rPr>
      <t xml:space="preserve"> where we estimate the effect that these firms as a group might have under a range of plausible scenarios. As Tab 1.6 shows, even an upper bound estimate of their collective patent licensing revenues from the mobile phone value chain, does not have a material effect on the results.  On the assumption that they, as a group, earn $2 billion in mobile phone patent licensing revenues, their inclusion would only increase the cumulative royalty yield by 0.4 percent (under the assumption that there is no patent licensing evasion by OEMs and EMSs) or 0.7 percent (under the assumption that 35 percent of smart phones shipped evade licensing).  
</t>
    </r>
  </si>
  <si>
    <t>Note: This table is not dynamic</t>
  </si>
  <si>
    <t xml:space="preserve">Keith Mailinson, " Cumulative Mobile-SEP Royalty Payments No More than Around 5% of Mobile Handset Revenues," IP Finance, August 19, 2015. </t>
  </si>
  <si>
    <t>1. Introduction</t>
  </si>
  <si>
    <t>While some have claimed that dispersed ownership of SEPs leads to high cumulative royalty rates, the estimates that underpin these claims are based on the simple addition of published handset royalty rates. There are a variety of reasons to be dubious of this method, not the least of which is that it conflates “rack rates” which might not be paid by anybody, with actual market transaction rates.  Indeed, just as firms have incentives to declare all possible patents as essential, they also have incentives to post high royalty rates to license their portfolio, even if they never actually earn any licensing revenue from that portfolio.</t>
  </si>
  <si>
    <t xml:space="preserve">Our purpose is to provide as comprehensive and transparent a data source as is practically possible for use by other researchers, industry practitioners, and government officials. We do not take a position on whether the estimates of the royalty yield we present in this study are “too high,” “too low,” or “just right.”   That is an important debate, but it can only be joined on the basis of evidence. </t>
  </si>
  <si>
    <t>2. Methods—“Follow the Money”</t>
  </si>
  <si>
    <t>All methods of analysis are dependent upon an underlying theory, and underlying theories are created in order to answer particular questions of interest.  Calculating the cumulative royalties paid (or earned) in the mobile phone value chain is not an exception to this general rule.  The basic question researchers are asking is how do royalties paid by firms in the mobile phone value chain affect production and decisions at the margin?  That is, if royalty rates were X percent higher, by how much would output fall and prices increase? If they were X’ lower, by how much would output rise and prices fall?  Microeconomic theory provides a guide to the relevant facts necessary to answer this question; it tells us that we need to approximate paid per-unit royalties.</t>
  </si>
  <si>
    <t>It is almost never the case that researchers can work with the ideal data, and the data on mobile phone patent licenses are not an exception to this rule. The fundamental problem is that licensees have very weak incentives to disclose their patent license royalty payments.</t>
  </si>
  <si>
    <t xml:space="preserve">As a matter of accounting, however, payments by licensees must show up as revenues for licensors, and licensors have strong incentives to disclose their patent licensing revenues.  For publicly-traded firms with licensing revenues that are a non-trivial component of their total revenues, those incentives are legal and regulatory; the sources of revenue must be disclosed to investors. Even licensors without legal and regulatory incentives to disclose their revenues, however, such as patent pools administered by firms that specialize in pool administration, have market-based incentives to disclose the identities of their licensees and their tiered royalty charges per unit, thereby allowing the royalty revenues of the pool to be approximated.   </t>
  </si>
  <si>
    <t>It is therefore possible to estimate the total cost of patent licenses in the mobile phone value chain by identifying the major licensors and retrieving the information necessary to estimate their licensing revenues. One can then divide the sum of these revenues across all licensors by the total value of mobile phones sold to obtain an average cumulative royalty yield. There are three numbers that one needs to know in order to estimate the Average Cumulative Royalty Yield: (i) the mobile phone patent licensing revenue earned by each licensor; (ii) the total number of mobile phones sold; (iii) the average selling (wholesale) price of a mobile phone (ASP).</t>
  </si>
  <si>
    <t>2A. Estimating the Size of the Market</t>
  </si>
  <si>
    <t xml:space="preserve">The number of phones sold and the ASP are easy to come by: a number of data analytics firms estimate these, and issue press releases that they then post to the web. Firms such as IC Insights, IDC, Gartner, and GFK produce these estimates. The estimates tend to be within a few percentage points of one another such that results would not be sensitive to which source is used (see Tab 1.8, Device Sales). These same firms also produce estimates of the quantity and value of tablets.  We do not include these in these calculations. If we would include tablets, it would increase the value of device sales, and thus drive down the Average Cumulative Royalty Yield. </t>
  </si>
  <si>
    <t xml:space="preserve">These same entities also estimate device sales and prices by major OEMs, and provide this data in press releases, which they post to the web. These estimates also tend to be within a few percentage points of one another (see Tab 1.9, OEM Sales). We use this data in order to estimate the revenues earned by patent pools, which tend to have tiered royalty schedules. </t>
  </si>
  <si>
    <t>2B. Estimating Patent Licensing Revenue</t>
  </si>
  <si>
    <t xml:space="preserve">The core of our method, then, is to “follow the money.”  In following the money, we make no distinctions as to where a licensor is earning revenues in the mobile phone value chain, nor do we make distinctions among the different patented technologies in a mobile phone. We capture, for example, revenues earned from licenses taken by semiconductor and base band chip producers, as well as the OEMs and EMSs that assemble phones. We also capture revenues earned from licenses on patents that enable video, imaging, audio, and other functions, as well as the SEPs that enable mobility.  We capture, as well, the revenues of a major software company that earns revenue from its patents that read on the most popular mobile phone operating system. </t>
  </si>
  <si>
    <t>2C. Basic Principles of Data Collection</t>
  </si>
  <si>
    <t>In following the money we are guided by four principles. First, to the degree possible, the estimates should be produced using publicly-available sources so that our results can be replicated and improved upon by other researchers. Indeed, we invite users of the data in the Excel workbook that accompanies this document to share information with us so that we can improve our estimates.  Second, we endeavor to have as long a time series for each licensor as is practically possible.  Third, decisions about how to treat data should bias in favor of obtaining a larger royalty yield. This implies that we err on the side of: (i) including licensors that license to a variety of industries, not just mobile phones, which means that we may be counting their revenues from those other products as patent royalties on mobile phones; (ii) attributing royalties to mobile phones that may have been paid on other mobile products, such as tablets;  (iii) double counting, which means that we may be including both the royalty revenues declared by a licensor and the royalty revenues earned by a pool where the licensor is a member;   (iv) biasing approximations upwards.</t>
  </si>
  <si>
    <t>3. Data Quality</t>
  </si>
  <si>
    <t xml:space="preserve">Other licensors provide sufficient information in publicly available documents so as to allow us to estimate their licensing revenues.  In some cases we have to disaggregate licensing revenues related to mobile phones from other licensing revenues based on information in footnotes to SEC 10k’s.  In other cases, we have licensing fee schedules and the identities of the licensees, and can estimate the licensing revenues per licensee. We denote these as "Documented."  Entities in this category include the major patent pools such as MPEGLA MPEG4; MPEGLA AVC/H.264, and Via's AAC pool.  It also includes Microsoft, which licenses its patents that read on the Android Operating System to OEMs. </t>
  </si>
  <si>
    <t xml:space="preserve">Finally, there are some entities with little or no disclosure.  Examination of the available data indicates that they have very modest, sometimes zero, revenues. We denote these as “Researched.”  The one exception to the generalization about size and data quality is Intellectual Ventures.  In this case, we have estimated its total revenues from information on its own website over time (using the web-tools that allow researchers to look at archived webpages) and from information in the trade press about its financial performance. We have to approximate the percentage of this revenue from the mobile phone value chain on the basis of information on the firm’s website about its patent portfolio, as well as interviews with industry practitioners. </t>
  </si>
  <si>
    <t>4. Results</t>
  </si>
  <si>
    <t>5. Sensitivity Analysis</t>
  </si>
  <si>
    <t>6. Concluding Remarks</t>
  </si>
  <si>
    <t>In addition, there are firms that appear to earn some patent licensing royalties from the mobile phone value chain, but there is limited information in the public domain about the magnitudes.  Some large, public companies (some of which are mobile phone OEMs) earn some patent licensing revenues, but their licensing activities are not significant enough to be a reportable segment in their financial statements. Some of these firms, or EMSs that produce for them, are also major sources of licensing revenue for other firms covered in this study. There are also small private companies that appear to earn some patent licensing royalties from the mobile phone value chain, but the publicly available information about their revenues and operations is fragmentary. We call those “Other identified firms.” The available evidence does not suggest any one of these firms—public or private—individually has licensing revenues significant enough that its addition would have a material effect on the overall magnitude of the cumulative royalty yield.</t>
  </si>
  <si>
    <t xml:space="preserve">There are some public firms that earn patent licensing revenue in the mobile phone value chain but in amounts that are modest relative to their other revenue sources. They therefore do not break out this revenue as a reportable segment in their public filings.  There are also private firms, and these are not obligated to disclose their revenue sources. When practicable, we estimate the revenues of both types of firms on the basis of information on their websites, reports in the trade and financial press, and interviews with industry practitioners (see Tab 1.7, Revenues by Licensor). When it is not practicable, we enumerate those firms (see Tab 6.0, Other Firms). We then do a sensitivity analysis in which we assign a series of plausible total revenues for these firms as a group (based on information from the trade press as well as interviews with industry practitioners) in order to see the degree to which their inclusion affects our results (see, Tab 1.6, Sensitivity). That sensitivity analysis finds that even an upper bound estimate of the combined mobile phone patent licensing revenues of these firms would not have a significant effect: even if the mobile phone patent licensing revenues for these firms as a group were $2 billion, the average cumulative royalty yield would only increase between 0.4 and 0.6 percentage points. </t>
  </si>
  <si>
    <t>The approach to data and methods employed in constructing this dataset build upon earlier work by Keith Mallinson on the royalty yield on mobile SEP licensing fees. See:</t>
  </si>
  <si>
    <t>Samsung Agreement: July 18, 2016</t>
  </si>
  <si>
    <t>Backup</t>
  </si>
  <si>
    <t>Form 10-K, FY ended 12/16, published 3/30/2017, p30</t>
  </si>
  <si>
    <t>Unwired Planet, SEC 10K, 2016, page 29</t>
  </si>
  <si>
    <t>Note</t>
  </si>
  <si>
    <t>Divested IP business to PanOptis</t>
  </si>
  <si>
    <t>© Authors, 2017</t>
  </si>
  <si>
    <t>Royalty Yield Summary 2016</t>
  </si>
  <si>
    <t>Economic Summary 2016</t>
  </si>
  <si>
    <t>Estimated Mobile Phones Revenues &amp; Costs (FY2016)</t>
  </si>
  <si>
    <t>SEC 10K 2016,p 28</t>
  </si>
  <si>
    <t>SEC 10K, 2016</t>
  </si>
  <si>
    <t>Form 40-F, FY end Dec 31, 2016</t>
  </si>
  <si>
    <t>Xperi</t>
  </si>
  <si>
    <t>Rambus, 10K 2016, p 31; 10k 2016</t>
  </si>
  <si>
    <t>Annual Report 2016, Consolidated Statements of Income, p49</t>
  </si>
  <si>
    <t>Via Licensing WCDMA</t>
  </si>
  <si>
    <t>Technicolor</t>
  </si>
  <si>
    <t>IBM</t>
  </si>
  <si>
    <t>Tivo</t>
  </si>
  <si>
    <t>USD/ EUR exchange rate (average, as stated by NOK in 20-F)</t>
  </si>
  <si>
    <t>Nokia Form 20-F, 2016, page 55, Fiscal year Ends December 31</t>
  </si>
  <si>
    <t>Nokia Form 20F, 2013, page 92.</t>
  </si>
  <si>
    <t>Nokia Form 20-F, 2012, page 110</t>
  </si>
  <si>
    <t>2015 10-K, Consolidated Statement of Operations, p104 of PDF, Exhibit pf-3; Presentation, Analyst Day, Feb 11, 2016, p59</t>
  </si>
  <si>
    <t>2016 10-K, p9; Analyst Day Presentation,, Feb 11, 2016, p59</t>
  </si>
  <si>
    <t>Nokia announced that it would hold 100% of Alcatel-Lucent shares as of November 2016</t>
  </si>
  <si>
    <t>As Alcatel-Lucent is now integrated into Nokia, there will be no further reporting on Alcatel-Lucent IP licensing revenues</t>
  </si>
  <si>
    <t>Dynamic Advances, LLC</t>
  </si>
  <si>
    <t>Signal IP, Inc.</t>
  </si>
  <si>
    <t>Major Licencing Arrangements of Marathon Subsidiaries 2016:</t>
  </si>
  <si>
    <t>Medical treatment of bones</t>
  </si>
  <si>
    <t>Automotive safety &amp; ADAS</t>
  </si>
  <si>
    <t>Software</t>
  </si>
  <si>
    <t>2016 10K, F5</t>
  </si>
  <si>
    <t xml:space="preserve">Royalty &amp; License Fees ($m) </t>
  </si>
  <si>
    <t>Semiconductor &amp; IP Licensing Segment Revenue ($)</t>
  </si>
  <si>
    <t>Xperi, formerly Tessera &amp; DTS, is among the largest public companies focused in patent licensing, having generated &gt; $2b in royalties over 10 years.  As such, Xperi provides a relatively transparent view of the magnitude of its business, but because it is not focused explicitly upon licensing the mobile phone market it does not report on this basis.  Xperi is well known for licensing programs based upon semic packaging and interconnect technologies and many licensed products likely are designed into mobile devices.  We assume that a material portion of Xperi royalties relate to mobile devices.</t>
  </si>
  <si>
    <t>Given that Xperi earns material royalties from technologies which ultimately go into mobile phones among other products, we must estimate the proportion of royalties from the mobile phone value chain.</t>
  </si>
  <si>
    <t>"... we conduct our business in two operating segments. The Product Licensing segment is comprised of our existing imaging technologies (e.g. FotoNation) and our acquired audio technologies (e.g. DTS, HD Radio). The Semiconductor and IP Licensing segment is comprised of our long-standing business of monetizing our intellectual property as well as our latest semiconductor packaging and interconnect technologies..."</t>
  </si>
  <si>
    <t>"As of December 31, 2016, our subsidiaries comprising the Semiconductor and IP Licensing segment owned approximately 1,902 United States patents and patent applications, as well asapproximately 1,490 foreign patents and patent applications..."  "Our semiconductor packaging and other technologies have been licensed to more than 100 companies. These customers include SK hynix, Samsung and Micron, among others."</t>
  </si>
  <si>
    <t>IPCom</t>
  </si>
  <si>
    <t>Website accessed May 14, 2017</t>
  </si>
  <si>
    <t>Significant WiFi patent owners such as Qualcomm/ Atheros, Ericsson, and Broadcom remain absent as is customary for each with regard to mobile patent pools.</t>
  </si>
  <si>
    <t>Vectis administers a WiFi patent pool consisting of a SEP portfolio of Ericsson, Panasonic, and now owned by Wi-Fi One, LLC (a PanOptis entity).  The portfolio relates to many 802.11 variants.</t>
  </si>
  <si>
    <t>US 7095754</t>
  </si>
  <si>
    <t>6. TCL (new 2016)</t>
  </si>
  <si>
    <t>4. Huawei (new 2016)</t>
  </si>
  <si>
    <t>5. Humax (new 2016)</t>
  </si>
  <si>
    <t>Representative licensees include, but are not limited to the following:</t>
  </si>
  <si>
    <t>17. Sharp</t>
  </si>
  <si>
    <t>Licensees as of May 14, 2017</t>
  </si>
  <si>
    <t>LGE</t>
  </si>
  <si>
    <t xml:space="preserve">Of the 20 listed licensees,  Kyocera, LG,  Sony Mobile, Huawei and TCL are mobile phone OEMs. </t>
  </si>
  <si>
    <t>* Arris appeared as an exemplary licensee in the past, but was eliminated by May 2017</t>
  </si>
  <si>
    <t>Representative current licensees (20 listed of 25 licensees claimed) include the following:</t>
  </si>
  <si>
    <t>1. B-Line Medical LLC</t>
  </si>
  <si>
    <t>2. Canon Inc.</t>
  </si>
  <si>
    <t>3. Casio Computer Co., Ltd.</t>
  </si>
  <si>
    <t>4. CounterPath Corporation</t>
  </si>
  <si>
    <t>5. Dish Network, LLC</t>
  </si>
  <si>
    <t>6. DivX, LLC</t>
  </si>
  <si>
    <t>8. Huawei</t>
  </si>
  <si>
    <t>9. Humax</t>
  </si>
  <si>
    <t>10. Kyocera Corporation</t>
  </si>
  <si>
    <t>20. TCL Corporation</t>
  </si>
  <si>
    <t>18. Sony Corporation</t>
  </si>
  <si>
    <t>19. Sony Mobile Communications, Inc.</t>
  </si>
  <si>
    <t>16. Sanyo Techno Solutions</t>
  </si>
  <si>
    <t>15. Rovi Corporation</t>
  </si>
  <si>
    <t>13. Nero AG</t>
  </si>
  <si>
    <t>14. Pentax/Ricoh Imaging Co., Ltd.</t>
  </si>
  <si>
    <t>11. Leica Camera AG</t>
  </si>
  <si>
    <t>12. LG Electronics</t>
  </si>
  <si>
    <t>Patent License Fees (US Dollars) (note: AT&amp;T removed this from its website by May 2017)</t>
  </si>
  <si>
    <t>We assume that the incumbents paid the enterprise caps of $2m + $3.75m in 2012-2015.  (Licensing program created January 1 2012).  We assume the new licensees paid fees only in 2016</t>
  </si>
  <si>
    <t>If we assume that all 4 mobile OEM licensees pay the $3.2m cap amount in 2016:</t>
  </si>
  <si>
    <t>&lt; 0.1m = no fee</t>
  </si>
  <si>
    <t>0.1 - 1m = $1/ unit</t>
  </si>
  <si>
    <t>1 - 2.5m = $1.50/ unit</t>
  </si>
  <si>
    <t>&gt; 2.5 m = $2.10/ unit</t>
  </si>
  <si>
    <t>License Fees (new structure 2017)</t>
  </si>
  <si>
    <t>Via Licensing acquired responsibility (Mar, 2017) to manage this pool from its predecessor SiproLabs.  The pool is well known pool for WCDMA SEPs.  The Patent Pool "licenses terminal products including handsets and other handheld terminals, removable data cards and embedded data card for portable computers, notebooks and other similar devices."</t>
  </si>
  <si>
    <t>Yulong (Coolpad)</t>
  </si>
  <si>
    <t>Smartphone Shipments (m)</t>
  </si>
  <si>
    <t>Mobile phone Shipments (m)</t>
  </si>
  <si>
    <t>Oppo</t>
  </si>
  <si>
    <t>Total Phones Value (US$M)</t>
  </si>
  <si>
    <t>Feature Phone estimated ASP</t>
  </si>
  <si>
    <t>Smartphone estimated ASP</t>
  </si>
  <si>
    <t>Total Phones estimated ASP</t>
  </si>
  <si>
    <t>1H 2017 update</t>
  </si>
  <si>
    <t>3.13</t>
  </si>
  <si>
    <t>3.14</t>
  </si>
  <si>
    <t>HEVC Advance</t>
  </si>
  <si>
    <t>Velos Media HEVC</t>
  </si>
  <si>
    <t>MPEGLA HEVC</t>
  </si>
  <si>
    <t>3.15</t>
  </si>
  <si>
    <t>3.16</t>
  </si>
  <si>
    <t>Blackberry</t>
  </si>
  <si>
    <t>Total devices</t>
  </si>
  <si>
    <t>Smartphones</t>
  </si>
  <si>
    <t>not available</t>
  </si>
  <si>
    <t>http://www.gfk.com/insights/press-release/smartphone-market-up-66-percent-year-on-year-in-2016/</t>
  </si>
  <si>
    <t>Smartphone sales from GfK</t>
  </si>
  <si>
    <t>Smartphone volume (m)</t>
  </si>
  <si>
    <t>Smartphone revenue ($b)</t>
  </si>
  <si>
    <t>Smartphone ASP ($)</t>
  </si>
  <si>
    <t>Source: http://www.gfk.com/insights/press-release/smartphone-market-up-66-percent-year-on-year-in-2016/</t>
  </si>
  <si>
    <t>SEK-Dollar exchange rate (average annual), via ERIC 20-Fs</t>
  </si>
  <si>
    <t>The ST-Ericsson JV (50/50) formed in Feb 3, 2009 and was dissolved by Aug 2, 2013.</t>
  </si>
  <si>
    <t>Samsung Electronics</t>
  </si>
  <si>
    <t>Koninklijke Philips</t>
  </si>
  <si>
    <t>Warner Bros. Entertainment</t>
  </si>
  <si>
    <t>1. ARRIS (cable CPE and infrastructure equipment)</t>
  </si>
  <si>
    <t>With a cap at $3.2m/ year and rate of $0.12/ unit for CE, licensees cap out at 27m units/ year.</t>
  </si>
  <si>
    <t>On a WW basis, ZTE, Huawei, and TCL would easily cap out while Kyocera would be far under.</t>
  </si>
  <si>
    <t>Key mobile licenses:</t>
  </si>
  <si>
    <t>Microsoft 10-K, FY 2016</t>
  </si>
  <si>
    <t>Tim Long, BMO, Q2 2017</t>
  </si>
  <si>
    <t>ASP (Table 2, ABI Research Mobile Device Semics, Q3, 2016)</t>
  </si>
  <si>
    <t>WSTS, End Use Report, 2016</t>
  </si>
  <si>
    <t>IDC</t>
  </si>
  <si>
    <t>Calculated</t>
  </si>
  <si>
    <t>Vectis now acts as licensor for the Fractus Antenna portfolio, with rates as follows:</t>
  </si>
  <si>
    <t>Alternative Rate:</t>
  </si>
  <si>
    <t>-US$ 0.20 per Antenna Product disposed of in the United States; and</t>
  </si>
  <si>
    <t>-US$ 0.08 per Antenna Product disposed of in countries other than the United States.</t>
  </si>
  <si>
    <t>US$ 0.60 per Antenna Product disposed of in the United States; and</t>
  </si>
  <si>
    <t>US$ 0.25 per Antenna Product disposed of in countries other than the United States.</t>
  </si>
  <si>
    <t>"Standard Rate</t>
  </si>
  <si>
    <t>The alternative rate applies to companies that enter into a license agreement without an admission or findings of liability in respect to the Antenna Products."</t>
  </si>
  <si>
    <t>Fractus previously successfully licensed a material portion of the mobile industry.</t>
  </si>
  <si>
    <t>FY2016</t>
  </si>
  <si>
    <t>Licensing</t>
  </si>
  <si>
    <t>Sales/ Other Transfers of IP</t>
  </si>
  <si>
    <t>Smartphone share</t>
  </si>
  <si>
    <t>2015 AR</t>
  </si>
  <si>
    <t>2016 AR</t>
  </si>
  <si>
    <t>2014 AR</t>
  </si>
  <si>
    <t>2013 AR</t>
  </si>
  <si>
    <t>2012 AR</t>
  </si>
  <si>
    <t>* See table "Intellectual Property and Custom Development Income"</t>
  </si>
  <si>
    <t>Source*</t>
  </si>
  <si>
    <t>2011 AR</t>
  </si>
  <si>
    <t>2009 AR</t>
  </si>
  <si>
    <t>2008 AR</t>
  </si>
  <si>
    <t>We make a gross assumption as to the proportion of IBM's IP income derives from patent monetization in the mobile market.</t>
  </si>
  <si>
    <t>Patent monetization</t>
  </si>
  <si>
    <t>Smartphone Patent Monetization Share</t>
  </si>
  <si>
    <t>Assumes 50% patent, 50% tech/ other</t>
  </si>
  <si>
    <t>Assumes share of monetization royalty basis</t>
  </si>
  <si>
    <t>Only a portion of IBM's IP licensing derives from patent licensing, and only some portion of that dervices from licensing in the mobile market so we must make some gross assumptions.  We will make these in keeping with our bias to avoid underestimating the relevant royalties.  In patent monetization IBM engages in a combination of licensing and divestitures, often achieved through integrated campaigns/ engagements.  Consequently we treat divestitures as licensing in keeping with our charter to avoid underestimation.</t>
  </si>
  <si>
    <t>Technology Business</t>
  </si>
  <si>
    <t>Service Providers</t>
  </si>
  <si>
    <t>Tivo represents the merger of Tivo and Rovi.  Tivo is best known for leading the DVR revolution and creating various related technologies, while Rovi is best known in the patent licensing space for its program guide licensing program based upon its acquisition of Gemstar, and its content protection program based upon the technology of its predecessor Macrovision.</t>
  </si>
  <si>
    <t>Tivo 10-K FY 2016</t>
  </si>
  <si>
    <t>* See table "Intellectual Property Licensing"</t>
  </si>
  <si>
    <t>Rovi 10-K FY 2015</t>
  </si>
  <si>
    <t>Rovi 10-K FY 2014</t>
  </si>
  <si>
    <t>Smartphone Patent Monetization Share (of CE)</t>
  </si>
  <si>
    <t>We make a gross assumption as to the proportion of Blackberry's IP income derives from patent monetization in the mobile market.</t>
  </si>
  <si>
    <t>We make a gross assumption as to the proportion of Technicolor's IP income derives from patent monetization in the mobile market.</t>
  </si>
  <si>
    <t>We make a gross assumption as to the proportion of Tivo's IP income derives from patent monetization in the mobile market.</t>
  </si>
  <si>
    <t>Gross assumption</t>
  </si>
  <si>
    <t>Blackberry has a somewhat nascent patent monetization program it is IP&amp;L unit (fka IPPL), which includes a combination of licensing and patent divestitures.  Blackberry's program appears focused in mobile as one might expect.</t>
  </si>
  <si>
    <t>Blackberry has reportedly earned some IP monetization revenues in recent years, and has filed some patent lawsuits (e.g. Nokia Corp., BLU Products) apparently related to its monetization business.  However the precise size of the business is unclear at this time insofar as public sources take us.</t>
  </si>
  <si>
    <t>Technicolor is a long time IP licensor, with significant track record of licensing technologies as well as patents and other IP properties (e.g. brand, copyright).  Technicolor licensing has historically had a very broad charter and consequently has not focused explicitly on the smartphone market.</t>
  </si>
  <si>
    <t>Only a portion of Technicolor's IP licensing derives from patent licensing, and only some portion of that dervices from licensing in the mobile market so we must make some gross assumptions.  We will make these in keeping with our bias to avoid underestimating the relevant royalties.  Technicolor is historically known for its extremely successful video and audio SEP licensing programs, including participation in several pools, as well as its DTV licensing program.</t>
  </si>
  <si>
    <t>Conversant IP</t>
  </si>
  <si>
    <t>It is not apparent as to whether Conversant's business has remained stable or grown since it went private.  Of particular interest to us would be the degree of progress made in its Core Wireless licensing program as this focuses specifically in mobile, but we find insufficient data to justify any material estimate for this new business.  The most prudent estimate appears to be maintenance of the status quo at the time of the buyout and so we employ those figures.</t>
  </si>
  <si>
    <t>Velos is a member of the Inception Holdings family of companies, which include Avanci, PanOptis, and Marconi Group perhaps among others.</t>
  </si>
  <si>
    <t>Velos is lead by Fred Telecky, formerly SVP and GC of Texas Instruments.</t>
  </si>
  <si>
    <t>Velos announced its entry into the market on March 31, 2017.</t>
  </si>
  <si>
    <t xml:space="preserve">It is unclear as to whether Velos Media is earning royalties, although perhaps any agreements may be confidential.  We do not believe that the magnitude of Velos business is such that it would significantly affect the magnitude of total industry royalties.  Given that it was only formed in mid-2017, and lists no licensees, its revenues for 2017 are not material. </t>
  </si>
  <si>
    <t>Velos also does not disclose the names or existence of any licensees.</t>
  </si>
  <si>
    <t>"Velos Media makes available the entire standard-essential HEVC patent portfolios of our platform members… The technology contributed by these companies covers all building blocks of an HEVC video codec. A license from Velos Media covers the HEVC standard"</t>
  </si>
  <si>
    <t>Velos Media does not yet publicly disclose any royalty rates, an usual position for a patent pool albeit perhaps simply a function of its nascent status; Velos does state that it licenses based upon RAND terms.</t>
  </si>
  <si>
    <t>"Velos Media will license to end user product companies manufacturing or selling HEVC-enabled devices. This means manufacturers or sellers of HEVC-enabled end user devices, such as TVs, phones, computers and tablets, can obtain a license from Velos Media."</t>
  </si>
  <si>
    <t>From the Velos Media FAQ</t>
  </si>
  <si>
    <t>We hope to learn more about the magnitude of Velos' business in the future so as to enable a proper accounting of their contribution to industry patent licensing royalties.</t>
  </si>
  <si>
    <t>Licensees</t>
  </si>
  <si>
    <t>ABOX42 GmbH</t>
  </si>
  <si>
    <t>ArcadyanTechnology Corporation</t>
  </si>
  <si>
    <t>KoninklijkePhilips N.V.</t>
  </si>
  <si>
    <t>Eagle Kingdom Technologies LTD</t>
  </si>
  <si>
    <t>EdisionHELLAS Ltd.</t>
  </si>
  <si>
    <t>ExacqTechnologies, Inc.</t>
  </si>
  <si>
    <t xml:space="preserve">General Electric Company </t>
  </si>
  <si>
    <t>MarusysCo., Ltd.</t>
  </si>
  <si>
    <t>OpticumMultimedia GmbH</t>
  </si>
  <si>
    <t>PegasysInc.</t>
  </si>
  <si>
    <t>Sky UK Ltd.</t>
  </si>
  <si>
    <t>SmartLabsLLC</t>
  </si>
  <si>
    <t>Tatung Technology Inc.</t>
  </si>
  <si>
    <t>TRIAX A/S</t>
  </si>
  <si>
    <t>Vivotek, Inc.</t>
  </si>
  <si>
    <t>Warner Bros. Entertainment Inc.</t>
  </si>
  <si>
    <t>Zhejiang DahuaTechnology Co., Ltd</t>
  </si>
  <si>
    <t>Licensors</t>
  </si>
  <si>
    <t>GE Video Compression, LLC (a unit of General Electric Co.)</t>
  </si>
  <si>
    <t>HFI Innovation Inc. (a unit of MediaTek, Inc.)</t>
  </si>
  <si>
    <t>HEVC Advance administers an HEVC patent pool consisting of the HEVC SEP portfolios of Dolby, Philips, GE, Mediatek, Mitsubishi Electric, Warner Bros and more.</t>
  </si>
  <si>
    <t>Royalty Rate Summary</t>
  </si>
  <si>
    <t>Mobile Devices (phone, tablet, laptop, etc.)</t>
  </si>
  <si>
    <t>Main Profiles Royalty</t>
  </si>
  <si>
    <t>Profile Extensions Any One</t>
  </si>
  <si>
    <t>Region 1: $0.10/ unit</t>
  </si>
  <si>
    <t>Region 2: $0.05/ unit</t>
  </si>
  <si>
    <t>Profile Extensions All Three</t>
  </si>
  <si>
    <t>Region 1: $0.25/ unit</t>
  </si>
  <si>
    <t>Region 2: $0.125/ unit</t>
  </si>
  <si>
    <t>Mobile Overall: $30m</t>
  </si>
  <si>
    <t>Mobile (ex Phones): $20m</t>
  </si>
  <si>
    <t>Combined Markets (Mobile, Connected Home/ Consumer, and 4K UHD TV): $40m</t>
  </si>
  <si>
    <t>Annual Royalty Caps (Samsung to cap out all areas, attribute 42% to mobile = $12.8m)</t>
  </si>
  <si>
    <t>Region 1 (US, EU, Japan, Korea, developed world, other): $0.40/ unit</t>
  </si>
  <si>
    <t>HEVC was founded in spring of 2015.</t>
  </si>
  <si>
    <t>Technicolor was among the founding members, but departed in February 2016 and launched its own bilateral HEVC licensing program.</t>
  </si>
  <si>
    <t>Based upon the declared licensees and royalty caps, we estimate HEVC Advance's mobile royalties as follows:</t>
  </si>
  <si>
    <t>Samsung Electronics (formerly a member of MPEG-LA HEVC pool, switched in April 2017)</t>
  </si>
  <si>
    <t>MPEG's HEVC pool licensees likely retain a license to the Samsung HEVC portfolio, but HEVC Advance will be responsible for delivering subsequent licenses to the portfolio.</t>
  </si>
  <si>
    <t>Region 2 (BRICs: China, India, Brazil, Russia, Latin America, Africa, RoW): $0.20/ unit</t>
  </si>
  <si>
    <t>Region list</t>
  </si>
  <si>
    <t>Pool overview and summary</t>
  </si>
  <si>
    <t>Samsung is:</t>
  </si>
  <si>
    <t>The world leader in mobile device volume shipments</t>
  </si>
  <si>
    <t>The world leader in DTV volume shipments</t>
  </si>
  <si>
    <t>A leader in many other consumer electronic markets by volume</t>
  </si>
  <si>
    <t>The combined cap is $40m</t>
  </si>
  <si>
    <t>The mobile cap is just $30m</t>
  </si>
  <si>
    <t>2016 Estimate ($m)</t>
  </si>
  <si>
    <t>Samsung supports HEVC:</t>
  </si>
  <si>
    <t>Galaxy S8 and S7, and perhaps in other devices</t>
  </si>
  <si>
    <t>A number of HEVC DTVs</t>
  </si>
  <si>
    <t>Perhaps other products</t>
  </si>
  <si>
    <t>Samsung shipped 311m smartphones in 2016 per IDC</t>
  </si>
  <si>
    <t>Samsung's flagship Galaxy smartphones support HEVC</t>
  </si>
  <si>
    <t>HEVC Advance is building a solid set of licensees, however at this time only Samsung is a meaningful vendor of mobile devices.  Philips and perhaps Sky UK are relatively small mobile vendors and would represent an immaterial quantity of royalties even if all devices were HEVC enabled and sold in region 1.</t>
  </si>
  <si>
    <t>Alpha Digitech, Inc.</t>
  </si>
  <si>
    <t>British Broadcasting Corporation (BBC)</t>
  </si>
  <si>
    <t>Digital Insights Inc.</t>
  </si>
  <si>
    <t>Electronics and Telecommunications Research Institute (ETRI)</t>
  </si>
  <si>
    <t>IBEX PT Holdings​</t>
  </si>
  <si>
    <t>Industry – Academy Cooperation Foundation of Sejong University</t>
  </si>
  <si>
    <t>Infobridge Pte. Ltd.</t>
  </si>
  <si>
    <t>Intellectual Discovery Co., LTD.</t>
  </si>
  <si>
    <t>Intellectual Value, Inc.</t>
  </si>
  <si>
    <t>Korean Broadcasting System (KBS)</t>
  </si>
  <si>
    <t>KT Corp.</t>
  </si>
  <si>
    <t>Kwangwoon University Industry – Academic Collaboration Foundation</t>
  </si>
  <si>
    <t>M&amp;K Holdings Inc.</t>
  </si>
  <si>
    <t>Nippon Hoso Kyokai (NHK)</t>
  </si>
  <si>
    <t>Nippon Telegraph and Telephone Corporation (NTT)</t>
  </si>
  <si>
    <t>Siemens Corp.</t>
  </si>
  <si>
    <t>SK Planet Co., Ltd.</t>
  </si>
  <si>
    <t>SK Telecom Co., Ltd.</t>
  </si>
  <si>
    <t>SungKyunKwan University Research &amp; Business Foundation</t>
  </si>
  <si>
    <t>Tagivan II LLC</t>
  </si>
  <si>
    <t>The Trustees of Columbia University in the City of New York</t>
  </si>
  <si>
    <t>University - Industry Cooperation Foundation of Korea Aerospace University</t>
  </si>
  <si>
    <t>University – Industry Cooperation Group of Kyung Hee University</t>
  </si>
  <si>
    <t>AAT Holding S.A.</t>
  </si>
  <si>
    <t>Berg electronic UG (haftungsbeschränkt)</t>
  </si>
  <si>
    <t>British Broadcasting Corporation</t>
  </si>
  <si>
    <t>CIB Security Inc</t>
  </si>
  <si>
    <t>Creative Labs Pte. Ltd.</t>
  </si>
  <si>
    <t>CTU Systems Ltd.</t>
  </si>
  <si>
    <t>Eastern CCTV USA LLC</t>
  </si>
  <si>
    <t>Epson Direct Corporation</t>
  </si>
  <si>
    <t>Firecore, LLC</t>
  </si>
  <si>
    <t>FLIR Systems, Inc.</t>
  </si>
  <si>
    <t>Forcepoint Federal LLC</t>
  </si>
  <si>
    <t>FREEBOX SAS</t>
  </si>
  <si>
    <t>Gospell Digital Technology Co., Ltd.</t>
  </si>
  <si>
    <t>HANGZHOU ZENO TECHNOLOGY CO., LTD.</t>
  </si>
  <si>
    <t>Hexaglobe SAS</t>
  </si>
  <si>
    <t>IMAX Corporation</t>
  </si>
  <si>
    <t>Industry Weapon Inc</t>
  </si>
  <si>
    <t>JOANNEUM RESEARCH Forschungsgesellschaft mbH</t>
  </si>
  <si>
    <t>Keysight Technologies Singapore (Holdings) Pte. Ltd.</t>
  </si>
  <si>
    <t>King Jim Co., Ltd.</t>
  </si>
  <si>
    <t>KIWI Communications</t>
  </si>
  <si>
    <t>L3 Technologies - CSW</t>
  </si>
  <si>
    <t>Lemke Software GmbH</t>
  </si>
  <si>
    <t>Light Labs Inc.</t>
  </si>
  <si>
    <t>Morpho, Inc.</t>
  </si>
  <si>
    <t>Moscatelli S.r.l.</t>
  </si>
  <si>
    <t>NEC Display Solutions Europe GmbH</t>
  </si>
  <si>
    <t>NEC Display Solutions of America, Inc.</t>
  </si>
  <si>
    <t>NEC Viewtechnology Trading (Shenzhen), Ltd.</t>
  </si>
  <si>
    <t>NTT TechnoCross Corporation</t>
  </si>
  <si>
    <t>Onkyo Digital Solutions Corporation</t>
  </si>
  <si>
    <t>Power Security Systems Ltd.</t>
  </si>
  <si>
    <t>Promax Systems</t>
  </si>
  <si>
    <t>Provision-ISR Ltd.</t>
  </si>
  <si>
    <t>Sears Brands Management Corporation</t>
  </si>
  <si>
    <t>SMT Electronic Technology Limited</t>
  </si>
  <si>
    <t>Techpro Security Products, LLC</t>
  </si>
  <si>
    <t>Telekom Deutschland GmbH</t>
  </si>
  <si>
    <t>TFI Digital Media Limited</t>
  </si>
  <si>
    <t>WatchNET Inc Canada</t>
  </si>
  <si>
    <t>Woody Technologies</t>
  </si>
  <si>
    <t>Zhuhai Raysharp Technology Co., Ltd</t>
  </si>
  <si>
    <t>0 -100,000 units/year = no royalty (available to one Legal Entity in an affiliated group)</t>
  </si>
  <si>
    <t>US $0.20 per unit after first 100,000 units each year</t>
  </si>
  <si>
    <t>Maximum annual royalty payable by an Enterprise (Legal Entity and Affiliates) is $25M for present coverage during the first License Term</t>
  </si>
  <si>
    <t>Decoder-Encoder Sublicenses</t>
  </si>
  <si>
    <t xml:space="preserve">HEVC Products Sold to End Users by a Licensee with </t>
  </si>
  <si>
    <t>Licensing Summary</t>
  </si>
  <si>
    <t>MPEG LA announced availability of licenses via its HEVC patent pool in September 2014.</t>
  </si>
  <si>
    <t>MPEG LA is a longstanding leading patent pool developer and administrator, well known for its seminal MPEG2 patent pool as well as several successors in areas such as H.264 and MPEG4.</t>
  </si>
  <si>
    <t>Appendix</t>
  </si>
  <si>
    <t>Licensors: 35 entities, including Apple (see Appendix below for full list)</t>
  </si>
  <si>
    <t>Licensees: 167 entities, including Apple and Samsung (see Appendix below for full list)</t>
  </si>
  <si>
    <t>MPEG LA administers an HEVC patent pool consisting of a SEP portfolio provided by 35 licensors including Apple, NTT, NEC and many others.</t>
  </si>
  <si>
    <t>As a private firm, MPEG LA provides little transparency into the magnitude of the patent licensing royalties it may be earning, though it is clear that it has enrolled a total of 167 licensees among which are Apple and Samsung.</t>
  </si>
  <si>
    <t>"MPEG LA's HEVC Patent Portfolio License provides access to essential patent rights for the HEVC digital video coding standard (also known as H.265 and MPEG-H Part 2) providing consumers with increased speed and efficiency in products that encode and decode video for Internet, television and mobile transmission, reception and use."</t>
  </si>
  <si>
    <t>Based upon the declared licensees and royalty caps, we estimate MPEG LA's mobile royalties as follows:</t>
  </si>
  <si>
    <t>The only named licensees known to produce smartphones are as follows:</t>
  </si>
  <si>
    <t>Sky (an MVNO with some branded devices, apparently)</t>
  </si>
  <si>
    <t>Orange (a service provider with some branded devices, apparently)</t>
  </si>
  <si>
    <t>The pool has a royalty cap at $25m</t>
  </si>
  <si>
    <t>At the rate of $0.25/ unit, a vendor must sell 100m units to reach the cap</t>
  </si>
  <si>
    <t>If 33% were HEVC enabled, Samsung would cap out</t>
  </si>
  <si>
    <t>Apple shipped 215m smartphones in 2016 per IDC</t>
  </si>
  <si>
    <t>If 46% were HEVC enabled, Apple would cap out</t>
  </si>
  <si>
    <t>We assume that the other 3 entities were immaterial given their unit volumes.</t>
  </si>
  <si>
    <t>We make a gross assumption that Samsung and Apple both reached the cap @ $25m apiece.</t>
  </si>
  <si>
    <r>
      <t xml:space="preserve">Apple's specification data does </t>
    </r>
    <r>
      <rPr>
        <i/>
        <u/>
        <sz val="12"/>
        <color theme="1"/>
        <rFont val="Calibri (Body)"/>
      </rPr>
      <t>NOT</t>
    </r>
    <r>
      <rPr>
        <sz val="12"/>
        <color theme="1"/>
        <rFont val="Calibri"/>
        <family val="2"/>
        <scheme val="minor"/>
      </rPr>
      <t xml:space="preserve"> indicate support for HEVC in 2016 products</t>
    </r>
  </si>
  <si>
    <t>We hope to learn more about the magnitude of Conversant's businesses in the future so as to enable a proper accounting of their contribution to industry patent licensing royalties.</t>
  </si>
  <si>
    <t>Velos licensors Panasonic, Sony, and Sharp are or will soon be producers of HEVC products and so might be expected to also serve as licensees, giving the pool some near term royalties.  However, today we find no specifications stating that any of these firms have HEVC enabled mobile devices in the market today, or did in 2016.</t>
  </si>
  <si>
    <t>MOSAID AR 2011</t>
  </si>
  <si>
    <t>Patent Licensing Revenue 
(CDN, m)</t>
  </si>
  <si>
    <t>private, assumed stable</t>
  </si>
  <si>
    <t>Patent licensing</t>
  </si>
  <si>
    <t>Semiconductor market</t>
  </si>
  <si>
    <t>Assumes all revenue from patent licensing</t>
  </si>
  <si>
    <t>Assumes all royalties from semiconductor licensees</t>
  </si>
  <si>
    <t>Assumes share of licensed products in smartphones</t>
  </si>
  <si>
    <t>Smartphone Royalties 
($USD m)</t>
  </si>
  <si>
    <t>Patent Licensing Revenue 
($USD m)</t>
  </si>
  <si>
    <t>Average Exchange Rate (USD/ CDN)*</t>
  </si>
  <si>
    <t>* Source: OFX</t>
  </si>
  <si>
    <t>Conversant is the "new" name of the former MOSAID Technologies.  MOSAID was originally a semiconductor company and later turned to IP licensing of its organic semiconductor patent portfolio.  MOSAID was publicly traded until an LBO by Sterling Partners took it private in December 2011 for $590m.</t>
  </si>
  <si>
    <t>Conversant is a significant licensor with a historical focus on licensing semiconductor technologies, but with the acquisition of Core Wireless in 2011 having a new focus in mobile.</t>
  </si>
  <si>
    <t>We have yet to uncover materials providing a more transparent view of Conversant's current business as it is not transparent in the fashion of a typical publicly traded company and provides little transparency into the magnitude of any patent licensing royalties it may be earning through its Core Wireless business.</t>
  </si>
  <si>
    <t>MOSAID's 2011 and prior financial statements remain on file and provide perspective on its business.</t>
  </si>
  <si>
    <t>Conversant's legacy semiconductor licensing activities focused in i) memory (DRAM, flash, PSRAM), ii) wifi, and iii) micro-components (SoCs).</t>
  </si>
  <si>
    <t>Shortly before its acquisition by Sterling Partners, MOSAID acquired the Core Wireless business through a partnership with Nokia and Microsoft.  Core Wireless possessed a large portfolio of patents originated from Nokia, including many mobile SEPs in GSM, WCDMA, and LTE.</t>
  </si>
  <si>
    <t>Conversant's Core Wireless business, acquired in 2011, focuses on licensing of mobile devices.  Conversant later established licensing programs in networking (PoE, Ethernet), semiconductor process &amp; packaging, digital video playback, and automotive.</t>
  </si>
  <si>
    <t>We estimate Conversant's licensing impact in mobile as follows:</t>
  </si>
  <si>
    <t>Average Exchange Rate (USD/ EUR)*</t>
  </si>
  <si>
    <t>** Source: OFX</t>
  </si>
  <si>
    <t>Assumes no brand, technology or other business</t>
  </si>
  <si>
    <t>"... Xperi creates, develops and licenses innovative audio, computational imaging, computer vision and semiconductor packaging and interconnect technologies... We license our innovative technologies and inventions to global electronic device manufacturing companies who, in turn, integrate the technologies into their own enterprise, consumer electronics and semiconductor products. Our technologies and solutions are widely proliferated. Our audio technologies have shipped in billions of devices for the home, mobile and automotive markets. Our imaging technologies are embedded in more than 25% of the current smartphone market. Our semiconductor packaging and interconnect technologies have been licensed to more than 100 customers and have shipped in over 100 billion semiconductor chips. Key end-markets enabled by Xperi's technology solutions include mobile, home, datacenter and automotive."</t>
  </si>
  <si>
    <t>Computing</t>
  </si>
  <si>
    <t>Government</t>
  </si>
  <si>
    <t>No public data available</t>
  </si>
  <si>
    <t>Smartphone share (%)</t>
  </si>
  <si>
    <t>Broadcom represents the merger of Broadcom, Avago (fka Agilent, the spin-out of HP's semiconductor businesses), LSI, Agere, and more.  As such it includes a diverse set of portfolios and legacy license agreements and even licensing programs.  Most relevant and notable among these is likely Broadcom's $891m 2009 settlement with Qualcomm.</t>
  </si>
  <si>
    <t>FY2007</t>
  </si>
  <si>
    <t>FY2008</t>
  </si>
  <si>
    <t>FY2009</t>
  </si>
  <si>
    <t>FY2010</t>
  </si>
  <si>
    <t>FY2011</t>
  </si>
  <si>
    <t>Verizon Deal</t>
  </si>
  <si>
    <t>QCOM Deal</t>
  </si>
  <si>
    <t>Broadcom SEC 10-k 2012, p22</t>
  </si>
  <si>
    <t>Broadcom SEC 10-k 2009, 42</t>
  </si>
  <si>
    <t>Other Licensing</t>
  </si>
  <si>
    <t>Licensing Revenue (ex Qualcomm)</t>
  </si>
  <si>
    <t>Broadcom SEC 10-k 2014, p33</t>
  </si>
  <si>
    <t>FY2016 10-K, p47</t>
  </si>
  <si>
    <t>FY2015 10-K, p51</t>
  </si>
  <si>
    <t>FY2014 10-K, p50, p54</t>
  </si>
  <si>
    <t>Avago  Industrial &amp; Other Revenue ($m):</t>
  </si>
  <si>
    <t>Avago Development Arrangements &amp; IP ($m):</t>
  </si>
  <si>
    <t>Avago Patent Monetization ($m):</t>
  </si>
  <si>
    <t>In keeping with our objective of overestimating when in doubt, we assume that ALL increases in Development Arrangements &amp; IP are from increases in IP monetization:</t>
  </si>
  <si>
    <t>We next consider the licensing business of the legacy Broadcom entities:</t>
  </si>
  <si>
    <t xml:space="preserve">Total net revenue for Industrial and Other (which includes the patent licensing and sales activity): </t>
  </si>
  <si>
    <t>We total these businesses which now comprise the new Broadcom as follows:</t>
  </si>
  <si>
    <t>No information provided</t>
  </si>
  <si>
    <t>Of Xperi's estimated $260m in 2016 royalties, we estimate that ~31% or ~$82m in 2016 relate to mobile devices.</t>
  </si>
  <si>
    <t>Royalty &amp; License Fees</t>
  </si>
  <si>
    <t>2016 10-k</t>
  </si>
  <si>
    <t>Semic &amp; IP segment</t>
  </si>
  <si>
    <t>2015 10-k</t>
  </si>
  <si>
    <t>2014 10-k</t>
  </si>
  <si>
    <t>2013 10-k</t>
  </si>
  <si>
    <t>2012 10-k</t>
  </si>
  <si>
    <t>2010 10-k</t>
  </si>
  <si>
    <t>2009 10-k</t>
  </si>
  <si>
    <t>IPS R&amp;L</t>
  </si>
  <si>
    <t xml:space="preserve">We therefore begin by gathering all of Xperi's license fees and royalty income, as well as the portion related to the patent licensing business, which Xperi states is contained within the Semiconductor &amp; IP Licensing Segment.  We know that a portion of that segment pertains to semiconductor technology licensing ("Image Sensors, MEMs, RF, DRAM, 2.5D Logic and 3D-IC"), as opposed to patent licensing.  Within that, we have particular interest in revenues classified as "Royalties and License Fees". </t>
  </si>
  <si>
    <t>We recognize that these relevant royalties and licensing fees may derive from non mobile applications as Xperi's technologies have use in many areas of semiconductor.  Therefore, we factor the total by the proportion of semiconductors sold into the mobile space.  We therefore retrieved data on the percent of the semiconductor market that is Mobile.  PWC's report on "The Internet of Things: The next growth engine for the semiconductor industry" provides estimates of semiconductor sales by application for 2013-2015.  WSTS reports figures for 2016.  The data ($US b) is as follows:</t>
  </si>
  <si>
    <t>Semiconductor &amp; IP Licensing Segment Royalties &amp; License Fees ($)</t>
  </si>
  <si>
    <t>10K, 2013, p 47</t>
  </si>
  <si>
    <t>10K, 2016, p 25</t>
  </si>
  <si>
    <t xml:space="preserve">10K, 2016, p 25; </t>
  </si>
  <si>
    <t>10K, 2012, p 48</t>
  </si>
  <si>
    <t>Mobile Related Semic &amp; IP Licensing Royalties &amp; License Fees ($)</t>
  </si>
  <si>
    <t>Estimated Mobile Phone Based Patent Licensing Revenue ($m, FY2016)</t>
  </si>
  <si>
    <t>• Enterprise cap ‐ $3M per year prior to 2009; $3.3M in 2009; $3.6M in 2010; $3.75M after 2010</t>
  </si>
  <si>
    <t>o 0 ‐ 50,000 encoders/year = no royalty (available to one legal entity in an affiliated group)</t>
  </si>
  <si>
    <t>o 0 ‐ 50,000 decoders/year = no royalty (available to one legal entity in an affiliated group)</t>
  </si>
  <si>
    <t>Firm</t>
  </si>
  <si>
    <t>2007A</t>
  </si>
  <si>
    <t>2008A</t>
  </si>
  <si>
    <t>2009A</t>
  </si>
  <si>
    <t>2010A</t>
  </si>
  <si>
    <t>2011A</t>
  </si>
  <si>
    <t>2012A</t>
  </si>
  <si>
    <t>2013A</t>
  </si>
  <si>
    <t>2014A</t>
  </si>
  <si>
    <t>2015A</t>
  </si>
  <si>
    <t>2016A</t>
  </si>
  <si>
    <t>Acer Group</t>
  </si>
  <si>
    <t>Amazon.com</t>
  </si>
  <si>
    <t>Mitsubishi</t>
  </si>
  <si>
    <t>Palm</t>
  </si>
  <si>
    <t>Sagem</t>
  </si>
  <si>
    <t>Sanyo</t>
  </si>
  <si>
    <t>Sharp</t>
  </si>
  <si>
    <t>Sony</t>
  </si>
  <si>
    <t>Spice</t>
  </si>
  <si>
    <t>Toshiba</t>
  </si>
  <si>
    <t>White Box</t>
  </si>
  <si>
    <t>Other Chinese</t>
  </si>
  <si>
    <t>License Status</t>
  </si>
  <si>
    <t>Shipments (mobile devices)</t>
  </si>
  <si>
    <t xml:space="preserve">We assume that a mobile device would need both an encoder and decoder, at a combined royalty of $0.50 per device. </t>
  </si>
  <si>
    <t>We multiply royalties by unit volume, until reaching the enterprise cap.</t>
  </si>
  <si>
    <t>We use mobile device volumes as aggregated by Tim Long of BMO Capital</t>
  </si>
  <si>
    <t>We assess royalties for each of the named entities for each year during which it was a licensee of the pool.</t>
  </si>
  <si>
    <t>We use the Internet Wayback Machine to identify the licensing status of each named entity at each point in time.</t>
  </si>
  <si>
    <t>We make a gross assumption regarding the degree to which all other and all other China-based entities were licensed.</t>
  </si>
  <si>
    <t>Others: 50% licensed by volume</t>
  </si>
  <si>
    <t>Other China: 25% licensed by volume</t>
  </si>
  <si>
    <t>We suspect these are overly generous assumptions, in keeping with our stated approach.</t>
  </si>
  <si>
    <t>Model</t>
  </si>
  <si>
    <t>Accessed June 2017</t>
  </si>
  <si>
    <t>Royalty: Enterprise cap/ year ($m)</t>
  </si>
  <si>
    <t>Royalty: Decoder/ unit ($)</t>
  </si>
  <si>
    <t>Royalty: Encoder/ unit ($)</t>
  </si>
  <si>
    <t>Royalty/ unit, low volume ($)</t>
  </si>
  <si>
    <t>Royalty/ unit, jogj volume ($)</t>
  </si>
  <si>
    <t>Royalty Rates for Sipro WCDMA Patent Pool (possibly defunct due to switch to Via administration)</t>
  </si>
  <si>
    <t>AAC is an audio compression scheme designed to provide high quality audio at lower bit-rates than previous MPEG audio compression formats.</t>
  </si>
  <si>
    <t>Through its AAC patent pool, Via offers a license to the AAC patent portfolios of industry leading companies that include AT&amp;T Corp., Dolby Laboratories, Ericsson, Fraunhofer IIS, Koninklijke Philips N.V., Microsoft Corporation, NEC Corporation, NTT DOCOMO, INC., Orange S.A., and Panasonic Corporation, the key innovators of the AAC audio compression standard that is widely adopted in broadcast, consumer electronics, mobile, automotive and personal computer products, worldwide.</t>
  </si>
  <si>
    <t>Royalty Estimation Model</t>
  </si>
  <si>
    <t>Royalty Rate</t>
  </si>
  <si>
    <t>Tier Threshold</t>
  </si>
  <si>
    <t>Source: Tim Long, BMO Capital, Q1 2017</t>
  </si>
  <si>
    <t>General Assumptions and Methodology</t>
  </si>
  <si>
    <t>Detailed Assumptions</t>
  </si>
  <si>
    <t>Low (m)</t>
  </si>
  <si>
    <t>High (m)</t>
  </si>
  <si>
    <t>Per Unit Fee</t>
  </si>
  <si>
    <t>Tier 1</t>
  </si>
  <si>
    <t>Tier 2</t>
  </si>
  <si>
    <t>Tier 3</t>
  </si>
  <si>
    <t>Tier 4</t>
  </si>
  <si>
    <t>Tier 5</t>
  </si>
  <si>
    <t>Tier 6</t>
  </si>
  <si>
    <t>Tier 7</t>
  </si>
  <si>
    <t>Tier 8</t>
  </si>
  <si>
    <t>Tier 9</t>
  </si>
  <si>
    <t>Volume Threshold</t>
  </si>
  <si>
    <t>Royalties</t>
  </si>
  <si>
    <t>Tiered Pool Model</t>
  </si>
  <si>
    <t>Volumes</t>
  </si>
  <si>
    <t>Vol (m)</t>
  </si>
  <si>
    <t>Tier Ceiling (m)</t>
  </si>
  <si>
    <t>Rate/ Unit</t>
  </si>
  <si>
    <t>Sensitivity Analysis of 2016 Average Cumulative Royalty Yield (Smartphones)</t>
  </si>
  <si>
    <t>As of July 2017, IV states that "To date, we have … cumulative licensing revenues exceeding $4.3 billion."  This, combined with the above suggests revenues of ~$1.3b from mid 2016 to mid 2017.</t>
  </si>
  <si>
    <t>As of 2010 IV reported that it had earned roughtly $2 billion in total licensing revenue.  As of June 2013, IV reported that it had earned rougly $3 billion in total licensing revenue.</t>
  </si>
  <si>
    <t>We estimate another $1b during 2010 to mid 2013, or 3.5 years = $285m/ year.</t>
  </si>
  <si>
    <t>We estimate another $1.3b during mid 2013 to mid 2017, or 4 years = $325m/ year</t>
  </si>
  <si>
    <t>2.  Electronics and Telecommunictions Research Institute ("ETRI", Korea)</t>
  </si>
  <si>
    <t>3.  France Brevets</t>
  </si>
  <si>
    <t>4.  Google</t>
  </si>
  <si>
    <t>5.  Industrial Technology Research Institute ("ITRI", Taiwan)</t>
  </si>
  <si>
    <t>6.  Infineon</t>
  </si>
  <si>
    <t>7.  Longitude Licensing (Acquired by Vector Capital)</t>
  </si>
  <si>
    <t>8. Mobile Media Ideas</t>
  </si>
  <si>
    <t>9. Round Rock</t>
  </si>
  <si>
    <t>10. Samsung Electronics</t>
  </si>
  <si>
    <t>11. Siemens</t>
  </si>
  <si>
    <t>12. Texas Instruments</t>
  </si>
  <si>
    <t>13. VoiceAge</t>
  </si>
  <si>
    <t>14.  Form Holdings (fka Vringo)</t>
  </si>
  <si>
    <t>15.  Sony Corp</t>
  </si>
  <si>
    <t>16.  LG Electronics</t>
  </si>
  <si>
    <t>Sensitivity Analysis of 2016 Average Cumulative Royalty Yield (Mobile Phones)</t>
  </si>
  <si>
    <t>Huawei is a leading vendor of communications equipment for carriers and enterprises, as well as smartphones and other consumer electronics.  Through Huawei's involvement in these fields it has worked closely with standards in 4G and beyond.  Huawei's declarations indicate that it believes itself to be one fo the largest owners of mobile Standards Essential Patents (SEPs).</t>
  </si>
  <si>
    <t>We have liberally assumed that Huawei's licensing revenues since 2013 equal that of Interdigital.  This assumption is likely to overestimate Huawei'g licensing revenues  in past years. We assume that before 2013 its patent licensing revenues were de minimis.</t>
  </si>
  <si>
    <t>http://www.huawei.com/en/about-huawei/annual-report/2016</t>
  </si>
  <si>
    <t xml:space="preserve">http://www.hi3p.com/2016/05/26/patent-battle-to-bite-the-hard-huawei-sued-samsung-infringement-52218.html </t>
  </si>
  <si>
    <t xml:space="preserve">http://www.patentlyapple.com/patently-apple/2016/05/huawei-files-an-11-count-patent-infringement-lawsuit-against-samsung-in-china-and-the-us.html </t>
  </si>
  <si>
    <t xml:space="preserve">http://www.theverge.com/2016/5/24/11762004/huawei-samsung-lte-patent-lawsuit </t>
  </si>
  <si>
    <t xml:space="preserve">Sources: </t>
  </si>
  <si>
    <t xml:space="preserve">Indeed, page 77 of its 2016 annual report, Huawei reports that during 2016 it added royalties valued in 2.105 billion RMB (about $300 million) to its intangible assets, alongside goodwill, trademarks, software and patents. This is not determinative, but it suggests that they entered into an agreement with some future commitments which they recognized. </t>
  </si>
  <si>
    <t>Other semiconductor costs</t>
  </si>
  <si>
    <t>Baseband processor cost</t>
  </si>
  <si>
    <t>Other costs</t>
  </si>
  <si>
    <t>Manufacturer's operating profits</t>
  </si>
  <si>
    <t>Phone: +56-99-226 7497</t>
  </si>
  <si>
    <t>Mobile phone revenues</t>
  </si>
  <si>
    <t>http://www.idc.com/getdoc.jsp?containerId=prUS42268917</t>
  </si>
  <si>
    <t>According to its SEC 10K filing of 2016, page 16, "Our recognized revenues for the periods presented were substantially derived from licensing and selling of our intellectual property in two significant transactions with Lenovo that closed in April 2014...  During the fiscal year ended June 30, 2016 we recognized net revenue of $27.8 million, representing non-cash revenue equal to all of the remaining deferred revenue of the Lenovo contract, as a result of the disposal of our intellectual property portfolio and corresponding performance obligations."</t>
  </si>
  <si>
    <t>IBM is a long time IP licensor, with significant track record of licensing technologies as well as patents and other IP properties (e.g. brand, copyright).  IBM licensing has historically had a very broad charter and consequently has not focused explicitly on smartphones.</t>
  </si>
  <si>
    <r>
      <t xml:space="preserve">In 2009, the </t>
    </r>
    <r>
      <rPr>
        <i/>
        <sz val="12"/>
        <color theme="1"/>
        <rFont val="Calibri"/>
        <family val="2"/>
        <scheme val="minor"/>
      </rPr>
      <t>Seattle Times</t>
    </r>
    <r>
      <rPr>
        <sz val="12"/>
        <color theme="1"/>
        <rFont val="Calibri"/>
        <family val="2"/>
        <scheme val="minor"/>
      </rPr>
      <t xml:space="preserve"> reported that the company had earned roughly $1 billion in licensing revenue since its inception, roughly $100 million per year through 2009. (Brier Dudley, “Bellevue lab is an inventor’s real dream,” Seattle Times (May 27 2009). Available at http://old.seattletimes.com/html/businesstechnology/2009266390_intvent70.html, accessed July 27 2016.</t>
    </r>
  </si>
  <si>
    <t>Economic Summary 2015</t>
  </si>
  <si>
    <t>Estimated Mobile Phones Revenues &amp; Costs (FY2015)</t>
  </si>
  <si>
    <t>ASP (Fig 6, ARMH, Credit Suisse, Apr-2016)</t>
  </si>
  <si>
    <t>L. Santiago, IDC, Worldwide Mobile Phone Semiconductor 20015-2019 Forecast, Jun 2015</t>
  </si>
  <si>
    <t>BMO, Capital Markets, Tim Long, Q1 2016</t>
  </si>
  <si>
    <t>4.1</t>
  </si>
  <si>
    <t>Summary by Licensor</t>
  </si>
  <si>
    <t>Revenues by Licensor, in $ mm</t>
  </si>
  <si>
    <t>Begin coverage</t>
  </si>
  <si>
    <t>Firms</t>
  </si>
  <si>
    <t>Published: August 14, 2017</t>
  </si>
  <si>
    <t>Quarterhill</t>
  </si>
  <si>
    <t xml:space="preserve">We thank Jordan Horrillo for his excellent research assistance, as well as helpful comments and suggestions from Jonathan Barnett, Anne Layne-Farrar, Tim Long, Keith Mallionson, Jorge Padilla, and others who wished to remain anonymous but provided important perspective. </t>
  </si>
  <si>
    <t>Mobile phones integrate a wide array of technologies, from computing to consumer electronics to communications, and from semiconductors to hardware, software and services.  This makes them a relevant target for a large and broad array of patents and licensors. In addition, mobile phones rely on technological standards to make them interoperable. A standard-compliant phone uses hundreds, if not thousands of standard essential patents (SEPs), which are owned by many different patent holders.</t>
  </si>
  <si>
    <t>This note describes the updated dataset we used to estimate the Average Cumulative Patent Royalty Yield paid in the mobile phone value chain— the sum total of patent royalty payments earned by licensors, divided by the total value of mobile phones shipped.  We published the first version of this dataset in September 2016. This version improves our estimate in several dimensions.</t>
  </si>
  <si>
    <r>
      <t>Estimating patent licensing revenue is straightforward in principle, though it can be difficult in practice. Firms that earn significant revenues from patent licensing report those figures in financial reports (e.g. SEC forms 10k and 20-f for example). Private firms are not obligated to disclose such information about their operations. In these cases we estimate revenues based on information that firms make publically available. For example, successful patent pools typically disclose the identities of their licensors and licensees, the patents covered by the pool, and the fee schedule for licensees. Developing an estimate given this information is practical, although it often tends to overestimate royalties. However, that is consistent with our chosen bias and so we expect it</t>
    </r>
    <r>
      <rPr>
        <sz val="11"/>
        <color theme="1"/>
        <rFont val="Times New Roman"/>
        <family val="1"/>
      </rPr>
      <t xml:space="preserve"> </t>
    </r>
    <r>
      <rPr>
        <sz val="12"/>
        <color theme="1"/>
        <rFont val="Calibri"/>
        <family val="2"/>
      </rPr>
      <t>(see Tab 1.7, Revenues by Licensor)</t>
    </r>
    <r>
      <rPr>
        <sz val="12"/>
        <color rgb="FF000000"/>
        <rFont val="Calibri"/>
        <family val="2"/>
      </rPr>
      <t xml:space="preserve">. </t>
    </r>
  </si>
  <si>
    <t xml:space="preserve">The quality of data varies across firms.  We classify licensors according the accuracy of our estimates of their licensing data in four categories: Confirmed, Documented, Approximated, and Researched. </t>
  </si>
  <si>
    <t xml:space="preserve">As as a general rule, the largest licensors are also the entities which disaggregate licensing revenues from other revenues, and for which we have a primary source document that was generated as a legal requirement. Qualcomm, Interdigital, Nokia, and Ericsson, are examples of these kinds of licensors. Given the high quality and accountability of their direct knowledge of their operations and their reporting under SEC auspices, we consider these figures "Confirmed.” In 2016, this category accounted for 75.2 percent of total revenues.  </t>
  </si>
  <si>
    <t xml:space="preserve">There are some entities that are non-trivial mobile phone value chain licensors for which we have information about their total licensing revenues.  We have to make assumptions, however, based on other data or interviews, about the percentage of their total licensing revenues that come from the mobile phone value chain.  We denote these as "Approximated." They include Xperi (formerly Tessera), Quarterhill (formerly Wilan) and Rambus.  </t>
  </si>
  <si>
    <t>One way to put these numbers into perspective is compare them with the value of mobile phone shipments. In 2016 original equipment manufacturers (OEMs) sold 1.97 billion mobile phones for $425 billion.  It follows that the ASP was $215, and that the average cumulative royalty per phone was $7.18.  The Average Cumulative Royalty Yield is total patent royalties divided by the value of total phone shipments, or 3.3 percent.</t>
  </si>
  <si>
    <t>We are able to estimate, with varying degrees of accuracy, the mobile phone patent licensing revenues of 39 licensors in the mobile phone value chain.  We estimate that the 39 licensors as a group had cumulative royalties in 2016 of almost $14.19 billion (see Table 2). Of these 39, 10 have licensing revenues of effectively zero.  Licensing revenues of the remaining 29 firms run from a low of $1.6 million to a high of $7.6 billion in 2016.</t>
  </si>
  <si>
    <t>4.A The 2016 Update</t>
  </si>
  <si>
    <t>Yet another way to put these data into perspective is to ask how they compare to estimates that other researchers have made about the rest of the costs incurred to manufacture phones, such as semiconductors and base band processors, as well as OEM operating margins on mobile phones (see Tab 1.5, Economic Analysis and Figure 1.5.1). The results indicate that patent licensing is the smallest of the categories: somewhat lower than the cost of base band processors, slightly less than one-seventh of the cost of semiconductors, and about one-fourth of OEM operating margins.</t>
  </si>
  <si>
    <t>2016 and 2015 Compared</t>
  </si>
  <si>
    <t xml:space="preserve">The average cumulative royalty yield in 2016 is the same as in 2015, 3.3 percent. Nevertheless, the share of manufacturers’ profits in the average selling price of a phone fell from 14.9 percent to 11.8 percent, and semiconductor costs (baseband processors and other semiconductors) rose from 19.1 percent to 25.1 percent. Last, the share of other costs fell from 62.6 percent to 59.8 percent. </t>
  </si>
  <si>
    <t>Our results do not seem to be sensitive to how one treats the data.  For example, what would happen if we assume that only smartphones paid royalties and all feature phones paid no royalties at all? Then all the cumulative royalties of $14.15 billion in 2016 would be spread across 1.474 billion smartphones with a total value of $415 billion (instead of 1.97 billion smart and feature phones with a value of $425 billion). The Average Cumulative Royalty per smartphone would rise from $7.18 per phone to $9.60 and the Average Cumulative Royalty Yield would rise from 3.3 percent to 3.4 percent.</t>
  </si>
  <si>
    <t xml:space="preserve">And what happens if we relax the assumption that every smartphone shipped in 2016 paid licensing royalties?  What if it was the case that some OEMs evaded licenses, such that the $14.15 billion is actually spread across fewer than 1.473 billion smartphones?  As a first step, we find determine an upper-bound evasion rate, which we put at 30 percent.  We then calculate the Average Cumulative Royalty Yield assuming that only 70 percent of smartphones paid licensing royalties. Table 3 shows the results.  Under the assumptions that: (i) all royalties are charged on smartphones (none on feature phones); and (ii) that 30 percent of smartphone production evades royalties, the average cumulative royalty rate would increase from 3.4 percent to 4.9 percent. </t>
  </si>
  <si>
    <t>A crucial input to any academic inquiry, policy debate, or industry study is the facts, dispassionately gathered.  Our purpose in creating the dataset we outline in this note is to do that. The information in this dataset is therefore not meant as a judgment of any sort upon the merits or effectiveness of any entity or its operations.  We invite users of this dataset to share their ideas, suggestions, and corrections with us so that they may be included in future versions.  As we have done with the first version of this data set, we would like to improve upon these estimates by making corrections when we have erred and to obtain superior data sources when they exist.  We will be the first to seek improvement in our third edition, and hope to benefit from the support of likeminded others.  Perhaps with ongoing cooperation within the community over time we may all gain greater clarity as to the functioning of individual firms and the industry.</t>
  </si>
  <si>
    <t>17. Round Rock</t>
  </si>
  <si>
    <t>Please cite this dataset and its content as follows:</t>
  </si>
  <si>
    <t>A New Dataset on Mobile Phone Patent License Royalties,  1H 2017 update,</t>
  </si>
  <si>
    <t>Working Paper WP16011, Hoover IP2</t>
  </si>
  <si>
    <t>This update improves the database in several dimensions. First, we incorporated the full calendar year 2016 with information about industry royalties, volumes, revenues and costs. The main result is an updated estimate of the Average Cumulative Royalty Yield for 2016.</t>
  </si>
  <si>
    <t>Note:  It is generally accepted that some OEMs evade paying licensing royalties.  The question is what is the upper bound of evasion?  Qualcomm, which accounts for roughy 56.3 percent of licensing revenues in our study in 2016, reports that it has 85 percent, market coverage.  Interdigital, which is the smallest of the major technology development companies, reports that it has 40 percent, market coverage. We are able to estimate the coverage of MPEGLA MPEG4, MPEGLA AVC/H.264, and Via AAC, on the basis of their list of licensees and data about the shipments of those licensees from data analytics firms, at 72 percent, 70 percent,, and 30 percent, respectively.  The results will be driven by how close the licensors with more revenue than Interdigital in 2016 (Nokia, Ericsson, and Microsoft) are to Qualcomm's coverage rate.  A lower bound estimate of their coverage--and of the coverage of all firms in the sample except Qualcomm, is that it is the average of MPEGLA MPEG4, MPEGLA AVC/H.264, Via AAC, and Interdigital, which is 53 percent.  The average coverage ratio under these assumptions would therefore be:   ((0.563*0.85)+(0.437*0.53)=0.71.  An upper bound estimate of  evasion is therefore 1 - 0.71= 0.29.  If, however, Nokia, Ericsson, and Microsoft have higher coverage ratios than 53 percent, closer to the average of MPEGLA pools, then the evasion ratio would be significantly lower. If we assume that these firms, which account for 23.2 percent of licensing revenues have a 71 percent coverage ratio, and that all firms other than these three plus Qualcomm average 53 percent, then the average coverage ratio would be (0.563*0.85)+(0.232*0.71)+(0.205*0.53)) =0.752  The evasion rate would therefore be 0.248.</t>
  </si>
  <si>
    <t>Fig: Economic Summary 2016</t>
  </si>
  <si>
    <t>2017 Improvements</t>
  </si>
  <si>
    <t>1.5.2</t>
  </si>
  <si>
    <t>1.7.1</t>
  </si>
  <si>
    <t xml:space="preserve">http://www.statista.com/statistics/309472/global-average-selling-price-smartphones/  </t>
  </si>
  <si>
    <t>The firms appearing in this section are the largest confirmed mobile patent licensors, each with revenues &gt; $400m over several consecutive years.  Each of these firms has based its licensing program principally upon mobile standards essential patents (mobile SEPs), though each also possesses non SEPs as well within their large patent portfolios.  
Qualcomm, Ericsson, and Nokia each served as leaders in mobile technology products within each generation of mobile technology, producing large proportions of the world's mobile infrastructure, devices, and/ or semiconductors.
We include a separate breakdown for Alcatel-Lucent, formerly an independent company with a far smaller, but still relevant licensing business.  In February 2017 Nokia acquired Alcatel Lucent and now manages and operates its assets and programs.
Microsoft's heritage lies in its leadership in operating systems and applications, as opposed to mobile standards, and it has enjoyed great success in constructing its Android mobile licensing program on the strength of this R&amp;D and its associated massive patent portfolio.
Interdigital began its life as a mobile semiconductor company, but transformed itself into a mobile patent licensor when it exited the mobile semiconductor market.</t>
  </si>
  <si>
    <t>The companies within this section have declared or reported patent licensing programs in technology areas relevant to mobile devices, such as mobile, wireless LAN, digital audio, or digital video standards, and/ or non SEPs. 
Some of these firms may be tantamount to mobile licensing leaders, but for our inability to confirm this in public documentation.  In some cases, this may be a simple matter of choice for licensors who prefer not to publish details regarding the size or composition of their patent licensing programs.
Others in this set of companies simply have publicly stated or demonstrated relevant licensing programs for which we cannot ascertain the degree of success, or even the existence of any concluded licensing agreements.  However we also cannot prove through public documentation the lack of any such licensing agreements or the absence of any success in developing and operating these programs.</t>
  </si>
  <si>
    <t xml:space="preserve">The unit's patent licensing revenues (2015) included an estimated 30% related to smartphones </t>
  </si>
  <si>
    <t xml:space="preserve">An estimated 95% of the €574 m revenues by this unit (2015) is related to patent licensing. </t>
  </si>
  <si>
    <t>Second, we incorporated any changes in reporting for public firms wherever appropriate. For example, the former Tessera is now Xperi (it changed its name in February 2017) and the former Wilan is now Quarterhill (it changed its name in April 2017).</t>
  </si>
  <si>
    <t>Fourth, we now cover several additional patent licensing entities. In the category "Approximated" we now report the royalty revenue of: (i) Technicolor, a significant patent licensor in digital audio and video; (ii) Tivo, also a significant patent licensor in digital audio and video; (iii) IBM, a significant licensor, but with very broad scope, which combines tech, patents and likely other forms of IP licensing; (iv) MPEG LA HEVC, a patent pool that licenses HEVC, the next generation technology of digital video; and (v) HEVC Advance, a patent pool that also licenses HEVC.  Similarly, in the category "Researched" we now report the royalty revenue of: (i) Velos Media HEVC, a patent pool  that licences HEVC; (ii) Blackberry, an increasingly significant licensor; (iii) Conversant/ Core Wireless, a significant licensor in semiconductors (Conversant unit) and mobile (Core Wireless unit).</t>
  </si>
  <si>
    <t>Fifth, we incorporated several changes wrought by M&amp;As: (i) Nokia closed the acquisition of Alcatel Lucent (so we no longer track Alcatel Lucent) and Withings, which is now their Digital Health unit; (ii) Via Licensing replaced SiproLabs as administrator of the WCDMA pool; (iii) PanOptis acquired Unwired Planet (so we no longer track Unwired Planet); (iv) Xperi (formerly Tessera) acquired DTS; (v) Rambus made several acquisitions; (vi) Avago acquired Broadcom, and then changed its name to "Broadcom."</t>
  </si>
  <si>
    <t>Microsoft is a major technology conglomerate. In conjunction with the development of its Windows Phone mobile platform it launched a major patent licensing program targeting mobile Android-based OEMs.  Microsoft's program reportedly licensed more than half of worldwide Android volumes.</t>
  </si>
  <si>
    <t xml:space="preserve">Microsoft is silent on its patent licensing business in 2010. </t>
  </si>
  <si>
    <t>Windows Phone launch on Q4 (de minimis sales).</t>
  </si>
  <si>
    <t>HTC (2010);  Samsung, Wistron, Compal, Quanta, Casio and Acer (2011); LGE, Pegatron, Sharp and RIM (2012); Hon Hai and ZTE (2013); Moto (2014); ASUS (2015); Xiaomi and Lenovo (2016).</t>
  </si>
  <si>
    <t>"Patent licensing revenue decreased 27%, due to a decline in license revenue per unit and licensed units." We therefore estimate patent licensing revenue as 73 percent of patent licensing revenue in 2015, which we estimated to be $1,134.5 million. Hence, patent licensing revenues in 2016 are 0.73 x  $1,134.5 million = $828.185 million.</t>
  </si>
  <si>
    <t xml:space="preserve">2015 revenues from licensing of Windows Phone OS based on page 32 of Microsoft's 2015 10-K, where we back out revenues on the basis of the following statement: "Windows Phone revenue increased $822 million or 48%, due mainly to the recognition of $382 million revenue under our joint strategic initiatives with Nokia, which concluded in conjunction with the acquisition of NDS, as well as an increase in phone patent licensing revenue." Note that page 6 states: "Windows Phone revenue also includes revenue from licensing mobile-related patents."  </t>
  </si>
  <si>
    <t xml:space="preserve">We calculate revenues from licensing of Windows Phone OS based on page 32 of Microsoft's 2015 10-K, where we back out revenues on the basis of the following statement: "Windows Phone revenue increased $822 million or 48%, due mainly to the recognition of $382 million revenue under our joint strategic initiatives with Nokia, which concluded in conjunction with the acquisition of NDS, as well as an increase in phone patent licensing revenue." In addition, page 6 states: "Windows Phone revenue also includes revenue from licensing mobile-related patents." Hence, we estimate patent royalty revenue in 2014 as $822 million x (1.48/0.48) = $2,535,5 million. Note that on February 11, 2011, at a press event in London, Microsoft CEO Steve Ballmer and Nokia CEO Stephen Elop announced a partnership between their companies in which Windows Phone would become the primary smartphone operating-system for Nokia. </t>
  </si>
  <si>
    <t>We calculate 2013 revenues from licensing of Windows' Phone OS based on page 32 of Microsoft's 2015-10k, where we back out revenues on the basis of the following statement: "Windows Phone revenue increased $822 million or 48%, [2013 vs 2014] mainly due to the recognition of $382 million revenue under our joint strategic initiatives with Nokia, which concluded in conjunction with the acquisition of NDS, as well as an increase in phone patent licensing revenue."  Hence, we estimate patent royalty revenue in 2013 as $822 million/0.48 = $1,712.5 million. Note that Microsoft's 2014 10K, page 29 includes the following statement: "During the first quarter of fiscal year 2014, we changed our organizational structure as part of our transformation to a devices and services company. As a result, information that our chief operating decision maker regularly reviews for purposes of allocating resources and assessing performance changed. Therefore, we have recast certain prior period amounts to conform to the way we internally managed and monitored segment performance during fiscal year 2014. Our reportable segments are described below."  We imagine that this might impact reported licensing revenues for Windows Phone OS in 2013 and 2012.</t>
  </si>
  <si>
    <t>Microsoft is silent on its patent licensing business in 2012. We calculated 2012 revenues from licensing of Windows Phone and other phone patents based on page 33 of Microsoft's 2014 10K, where we back out revenues on the basis of the following statement: "Windows Phone revenue increased $1.2 billion [2012 vs 2013], including an increase in patent licensing revenue and sales of Windows Phone licenses."  We estimated that patent licensing revenue in 2013 was $1,712.5 million, hence, patent licensing revenue in 2012 was $1,712.5 million - $1,200 million = $512.5 million.  We know that in the 4th quarter of 2012, 6,185,500 phones were sold crrying Windows' Phone OS, which amounts to roughly $25 million for the year.  Data from http://www.gartner.com/newsroom/id/2335616.</t>
  </si>
  <si>
    <t>Microsoft is silent on its patent licensing business in 2011. We calculated 2011 revenues from licensing of Windows Phone and other phone patents based on page 32 of Microsoft's FY 2013 10K, where it states that: "EDD revenue increased primarily reflecting Skype and Windows Phone revenue, offset in part by lower Xbox 360 platform revenue. Xbox 360 platform revenue decreased $107 million, "  EDD is Entertainment and Devices Division.   We know that total EDD revenues were $8.915 billion in 2011 and $9.599 billion in 2012. That means that EDD revenues increased by  $684 million from 2011 to 2012.  If X box fell by $107 million from 2011 to 2012, then Skype and Windows Phone must have increased jointly by $791 million.  We also know (from page 31) that "[...] EDD offerings include the Xbox entertainment platform (which includes the Xbox 360 gaming and entertainment console, Kinect for Xbox 360, Xbox 360 video games, Xbox LIVE, and Xbox 360 accessories), Skype, and Windows Phone, including related patent licensing revenue. We acquired Skype on October 13, 2011."   It is not possible to back out revenues from Skype, nor does the report provide any indication of revenues from phone OS in 2010.  However, we do know what Windows Phone was not introduced until October 2010.  We also know that whatever the value of Windows Phone licensing revenues were in 2011, they were lower than in 2012 (because the 10K states that revenues increased, page 32).  We also know that 2,759,000 phones were sold in the 4th quarter of 2011 with Windows Phone OS (data from" http://www.gartner.com/newsroom/id/1924314, accessed June 23, 2016).  This translates into roughly 11 million phones during the year, roughly 44 percent of the units sold in 2012, for which Microsoft reports patent licensing revenue equal to $512.5 millon.  We therefore take 0.44 x $512.5 millon = $225.5 milion as phone patent licensing revenue in 2011. 
We note that on October 4, 2010 Steve Ballmer announced in the The Wall Street Journal that "Android has a patent fee.  It's not like Android's free.  You do have to license patents.  HTC's signed a license with us and you're going to see license fees clearly for Android as well as for Windows." Assuming the HTC license was signed shortly before this (e.g. July-September), royalties from the first licensee, HTC, would have begun in FY2011.</t>
  </si>
  <si>
    <t>AT&amp;T administers a global, standards-based licensing program based on its portfolio of U.S. and foreign patents with claims essential to the practice of 802.11n and 802.11ac as defined by the IEEE Standards Association.</t>
  </si>
  <si>
    <t xml:space="preserve">* It is possible that some annual reporting may be distorted due to restructuring, including the creation and elimination of the ST-Ericsson JV and the handling of the Ericsson AB subsidiary revenues would have been reported there.  The 2012 Ericsson annual report suggests that licensing revenue was 5b SEK in 2008, but all other sources state 9.1b SEK. The 2009 AR explains where the revenues went:  Ericsson Annual Report 2009, page 32: "The Parent Company is the owner of a substantial part of Ericsson’s intellectual property rights. It manages the patent portfolio, including patent applications, licensing and crosslicensing of patents and defending of patents in litigations [...]. Effective January 1, 2009, the right to all license revenues from third parties related to patent licenses was transferred to Ericsson AB, a wholly owned subsidiary, and consequently net sales in 2009 were insignificant compared to 2008."  The implication is that prior to the creation of ST-Ericsson, Ericsson transferred relevant patents to the operation to a wholly owned subsidiary, Ericsson AB. The implication is that there should be a proportional step up (the difference between 5b and 9.1 b) for years after 2008. The question is for how long did Ericsson maintain this policy of splitting revenues between Ericsson AB and the Parent Company.  The answer appears to be by at least 2013 all IPR revenues were again being reported to the parent company, because a cross-licensing agreement resulted in a payment from Samsung and this paymet was reported on as accruing to the parent company. For 2013 and after we take reported revenues ans assume that any impact of the ST-Ericsson JV was unwound by 2013 permanently. 
</t>
  </si>
  <si>
    <t>2005 AR, p. 58</t>
  </si>
  <si>
    <t>2008 AR, p. 53; 2006 AR, p. 45</t>
  </si>
  <si>
    <t xml:space="preserve"> 2015 Annual Report, page 43and 74; 2014 Annual Report page 74</t>
  </si>
  <si>
    <t>2011 AR, p. 24; 2009 AR, p. 54.</t>
  </si>
  <si>
    <t>2012 AR, p. 27; 2010 AR, p. 61</t>
  </si>
  <si>
    <t>2013 AR, p. 37; 2010 AR, p. 61;  2009 AR, pp.32 and 54.</t>
  </si>
  <si>
    <t xml:space="preserve">2013 AR, p. 37; 2012 AR, pp.27 and 65;  2010 AR, p. 19. </t>
  </si>
  <si>
    <t xml:space="preserve"> 2015 AR, p. 43; 2013 AR, pp. 37 and 71; 2012 AR, p. 27.</t>
  </si>
  <si>
    <t xml:space="preserve"> 2015 AR, p. 43; 2014 AR, p. 74</t>
  </si>
  <si>
    <t xml:space="preserve"> 2015 AR, pp. 43 and 74; 2014 AR, p. 74</t>
  </si>
  <si>
    <t xml:space="preserve"> 2015 AR, pp. 16, 43, and 74.</t>
  </si>
  <si>
    <t xml:space="preserve"> 2016 AR, p. 28.</t>
  </si>
  <si>
    <t>Annual Report 2008, page 53 states that" "revenues from intellectual property rights (IPR ) related to products are as from
2007 reported in Net sales with related costs reported as Cost of sales. Comparative figures for 2006 have been restated accordingly. "  In the 2006 AR, page 45, this restatement is explained as follows: "Revenues for intellectual property rights (IPR) related to products are included in Net sales instead of Other operating income. In 2006, SEK 2,038 million (SEK 1,400 million in
2005) of Other operating income were reclassified."</t>
  </si>
  <si>
    <t>Annual Report 2008, page 53 states that" "revenues from intellectual property rights (IPR ) related to products are as from
2007 reported in Net sales with related costs reported as Cost of sales. Comparative figures for 2006 have been restated accordingly. " In the 2006 AR, page 45, this restatement is explained as follows: "Revenues for intellectual property rights (IPR) related to products are included in Net sales instead of Other operating income. In 2006, SEK 2,038 million (SEK 1,400 million in
2005) of Other operating income were reclassified."</t>
  </si>
  <si>
    <t>From 2014 Annual Report, page 2.  Ericsson and Samsung reached patent cross license agreements. Annual report 2014, page 27. The Company has created a licensing portfolio, representing the value of technology knowhow and R&amp;D. The portfolio includes both technology and patent licensing. The defensive value of the IPR portfolio protects the sales of Ericsson’s products and services as cross-licensing agreements are signed with other major IPR holders. The offensive value allows Ericsson to commercialize and obtain a fair return on the IPR portfolio. Both these values are direct returns of the investments made in R&amp;D.</t>
  </si>
  <si>
    <t xml:space="preserve">Annual Reports for 2011 and 2012 put 2009 licensing at 4.3 billion.  We use the higher figure, 4.481 billion, which appears to differ because of royalty income from Ericsson-ST. See annual report 2010, page 61.   Ericsson Annual Report 2009, page 32 provides additional information on licensing revenues: "The Parent Company is the owner of a substantial part of Ericsson’s intellectual property rights. It manages the patent portfolio, including patent applications, licensing and crosslicensing
of patents and defending of patents in litigations...Effective January 1, 2009, the right to all license revenues from third parties related to patent licenses was transferred to Ericsson AB, a wholly owned subsidiary, and consequently net sales in 2009 were insignificant compared to 2008."  The implication is that prior to the creation of ST-Ericsson, Ericsson transferred relevant patents to the operation to a wholly owned subsidiary, Ericsson AB. </t>
  </si>
  <si>
    <t>From Annual Report 2015, page 16. "Ericsson’s IPR (Intellectual Property Rights) portfolio includes both patents and technology know-how. Patent licensing includes giving access to patents for different technology standards, while technology licensing provides specifications for proprietary technologies such as different interfaces.  The Company is a net receiver of royalties, and the royalty-based IPR licensing business is a key element of its growth strategy. As a result of the work of 23,700 R&amp;D engineers and with more than 39,000 patents being granted (and thousands more pending), the Company has one of the broadest and most useful patent portfolios in mobile communication [...]. A major portion of the revenues currently stems from handset manufacturers, but through continued digitalization and the developing IoT (the Internet of Things), the number of new licensees in consumer electronics and industry verticals is expected to increase.  From page 42:  "The IPR strategy, to generate value frominvestments in R&amp;D, has been successful and over the last five years IPR licensing revenues have more than tripled. IPR revenues were SEK 14.4 (9.9) billion. Ericsson now has agreements with the majority of handset suppliers."</t>
  </si>
  <si>
    <t>From 2014 Annual Report, page 43: For 2013, IPR revenues included an initial payment of SEK 4.2 billion from Samsung for patent licensing.</t>
  </si>
  <si>
    <t>2010: The 70 million is non-recurring.  The 2012 annual report, page 110, mentions that recurring royalty income is about 500 m per year. We receive royalties from certain handset and other vendors under our standard essential patent portfolio. Royalty income isreported under Devices &amp; Services Other. Nokia 20F 2011, page. 59   Our overall Devices &amp; Services net sales in 2011 benefited from the recognition in Devices &amp; Services. Other of approximately EUR 450 million (approximately EUR 70 million in 2010) of non-recurring IPR royalty income, as well as strong growth in the underlying recurring IPR royalty income, page 118.   We therefore put royalty income at 570m.</t>
  </si>
  <si>
    <t xml:space="preserve">2009: Form 20F, 2010,page 50: "We receive royalties from certain handset and other vendors under our standard essential patent portfolio.  We are a world leader in the development of the wireless technologies of GSM/EDGE, G/WCDMA, HSPA, LTE, OFDM, WiMAX and TDSCDMA, and we have a robust patent portfolio in all of those technology areas, as well as for CDMA2000. We believe our standards related essential patent portfolio is one of the strongest in the industry. In GSM, we have declared over 320 GSM essential patents with a particular stronghold in codec technologies and in mobile packet data. Our major contribution to WCDMA development is demonstrated by over 430 essential patent declarations LTE/SAE Nokia has over 300 essential patent declarations to date. Our CDMA2000 portfolio is robust with over 160 patents declared essential.  Later paragraph states that they have cross licensing agreements."
</t>
  </si>
  <si>
    <t>20F, 2012, p. 218</t>
  </si>
  <si>
    <t>20F, 2009, p. 181</t>
  </si>
  <si>
    <t>20F, 2010, p. 192</t>
  </si>
  <si>
    <t>20F, 2013, p. 63;  20F 2012, p. 218 -&gt; 78m (*)</t>
  </si>
  <si>
    <t>20F, 2014, p. 53</t>
  </si>
  <si>
    <t>20F, 2015, p. 56</t>
  </si>
  <si>
    <t>Consolidated into Nokia; discontinued.</t>
  </si>
  <si>
    <t>20F, 2011, p. 210</t>
  </si>
  <si>
    <t>(*) We take the higher number in order to bias upwards</t>
  </si>
  <si>
    <t xml:space="preserve">Notes: </t>
  </si>
  <si>
    <t>FY2007: Verizon agreement signed</t>
  </si>
  <si>
    <t>FY2009: Qualcomm agreement signed; Verizon payments complete</t>
  </si>
  <si>
    <t>FY 2013: Qualcomm payments complete</t>
  </si>
  <si>
    <t>FY 2016: Merger with Avago to form Broadcom Cayman L.P.</t>
  </si>
  <si>
    <t>Broadcom fashions itself as the world's leading diversified communciations semiconductor company, providing customers with a wide array of wireless infrastructure and device components useful for all manner of communication. Today's Broadcom was formed through the roll-up of several major semiconductor and component businesses including Agilent (the former HP semiconductor business), LSI (including the acquired Agere semiconductor business), Broadcom, and more.</t>
  </si>
  <si>
    <t>Broadcom resolved an extensive campaign against Qualcomm in 2009, achieving an $891m settlement through a 4 year agreement as well as a related Verizon Wireless agreement which earned $200m in further royalties. LSI acquired Agere and its significant patent licensing program.  LSI was in turn acquried by Avago, which in turn merged with Broadcom.  LSI reported that it generated IP sales and licensing royalty revenue of ~$19 million (FY2013) and $31 million (FY2012).  This licensing is not necessarily directed in whole or in part at the mobile market or supply chain. It is reasonable to assume that a similarly sized licensing business remains today.</t>
  </si>
  <si>
    <t>Broadcom likely has a small patent licensing business resulting from its many consolidations.  It is highly likely that it lies within our very conservative upper bound estimate. Of these, Broadcom won a collosal set of agreements with Qualcomm and its customer Verizon Wireless, while Agere had a material licensing business which spanned mobile and consumer electronics and beyond. We first consider potential patent licensing revenues for the legacy Avago Technologies businesses.</t>
  </si>
  <si>
    <t>2011: In fiscal year 2012, $41.2 million, or 16.5%, of revenues were generated from our patent portfolios in the medical technology industry sector, as compared to $8.6 million, or 4.7%, in fiscal year 2011.  See Acacia 10K 2013, pages 25 and 26.</t>
  </si>
  <si>
    <t>2010:  Acacia Access Portfolio Acquired in 2010, generated 150m 2011-15; licensees include Samsung, Microsoft and Apple.</t>
  </si>
  <si>
    <t>2013: In fiscal year 2013, $9.9 million, or 7.6%, of revenues were generated from our patent portfolios in the medical technology industry sector.</t>
  </si>
  <si>
    <t>WiLAN began with a focus in wireless technology, and developed a technology called W-OFDM for which it intended to sell chipsets.  WiLAN states that the IEEE ultimately incorporated this technology into the 802.11a standard, which later became extremely popular.  Unfortunatley WiLAN did not succeed in commercializing its technology, and consequently it instead turned to licensing. Today WiLAN continues to license in the Wireless field including in across "... 3G/4G, Wi-Fi and Bluetooth, as well as other technologies generally applicable to handheld devices or to infrastructures necessary to operate wireless networks."</t>
  </si>
  <si>
    <t>In 2016 then WiLAN stated that it "... generates revenue by licensing its patents to companies that sell products utilizing technologies including: "Wi-Fi, WiMAX, LTE, CDMA, DSL, DOCSIS, Bluetooth, V-Chip, 3D television" and many other markets.  WiLAN states that it has "... over 320 global companies licensed, including Alcatel-Lucent, AmTRAN, Broadcom, Cisco, Dell, Funai, HP, HTC, Intel, LG, MediaTek, Motorola Mobility, Panasonic, Sierra Wireless and Samsung"</t>
  </si>
  <si>
    <t>Quarterhill (formerly WiLAN) in is among the larger public companies focused in patent licensing, having generated &gt; $650m in royalties over 10 years.  As such, Quarterhill provides a relatively transparent view of the magnitude of its business, but because it is not focused explicitly upon licensing the mobile phone market it does not report on this basis.  Former WiLAN is well known for licensing programs based upon x and many licensed products likely are designed into mobile devices.  We assume that a material portion of Quarterhill royalties relate to mobile devices.</t>
  </si>
  <si>
    <t>Technicolor "FY 2009 Results (unaudited)", p. 5</t>
  </si>
  <si>
    <t>"Thomson: Full Year 2007 Results", p. 5</t>
  </si>
  <si>
    <t>Technicolor "Full-Year 2011 Results", p. 9</t>
  </si>
  <si>
    <t>"Technicolor 2015 Consolidated Financial Statements", p. 26; LGE deal</t>
  </si>
  <si>
    <t>Technicolor "Notes to the 2016 Consolidated Financial Statements", p. 22</t>
  </si>
  <si>
    <t>Technicolor "Notes to the 2016 Consolidated Financial Statements", p. 21</t>
  </si>
  <si>
    <t>Technicolor "2012: A robust performance", p. 9</t>
  </si>
  <si>
    <t>Technicolor "Full year 2013 results" press release, p. 6</t>
  </si>
  <si>
    <t>MPEG LA's AVC/H.264 Patent Portfolio License provides access to essential patent rights for the AVC/H.264 (MPEG-4 Part 10) digital video coding standard used in set-top boxes, media player and other personal computer software, mobile devices including telephones and mobile television receivers, Blu-ray DiscTM players and recorders, Blu-ray video optical discs, game machines, personal media player devices, still and video cameras, subscription and pay-per view or title video services, free broadcast television services and other products. To align with the real-world flow of AVC/H.264 commerce, reasonable royalties are apportioned throughout the AVC/H.264 value chain. The License employs annual limitations to provide cost predictability, threshold levels below which certain royalties will not be charged in order to encourage early-stage adopters and minimize the impact on lower volume users or demo products, and certain licensing options that require no royalty reports.</t>
  </si>
  <si>
    <t>Description</t>
  </si>
  <si>
    <t>No royalty per unit</t>
  </si>
  <si>
    <t>Estimated royalty received assuming that the pool has coverage of ony 10 percent.</t>
  </si>
  <si>
    <t>As a private firm, HEVC Advance provides little transparency into the magnitude of the patent licensing royalties it may be earning, though it appears clear that it has earned some royalties. In any case,  its nascent licensing programs appears unlikely to constitute a significant portion of total mobile industry patent licensing royalties.</t>
  </si>
  <si>
    <t>"HEVC Advance offers a worldwide, non-exclusive, royalty bearing license to third parties under the HEVC essential patents on fair, reasonable, and nondiscriminatory (FRAND) terms."</t>
  </si>
  <si>
    <t>Dolby affiliates, Dolby Laboratories Licensing Corporation, and Dolby International AB</t>
  </si>
  <si>
    <t xml:space="preserve">At the Region 1 royalty rate, Samsung would need to ship 75m units to cap out in mobile Samsung shipped 311m smartphones in 2016 per IDC If 24% were HEVC enabled and shipped in Region 1 markets, Samsung would cap out Samsung's flagship Galaxy smartphones support HEVC. We assume that &gt; 24% of Samsung smartphones were HEVC enabled. We ascribe the full value of the $30m mobile cap, giving a defacto discount to other products. </t>
  </si>
  <si>
    <t>The HEVC Advance pool has a set of royalty caps likely relevant to Samsung:</t>
  </si>
  <si>
    <t>Velos Media administers an HEVC patent pool comprising SEPs from Qualcomm, Ericsson, Panasonic, Sony, and Sharp.</t>
  </si>
  <si>
    <t>As a private firm, Velos Media provides little transparency into its business including the magnitude of the patent licensing royalties it may be earning.  Its nascent licensing program appears unlikely to constitute a significant portion of total mobile industry patent licensing royalties.</t>
  </si>
  <si>
    <t>2011: Includes average run rate of EUR 500 million, plus EUR 450 million in non recurring income. Form 20F 2012, page 110. "Our overall Devices &amp; Services net sales in 2012 benefited from the recognition in Devices &amp; Services Other of approximately EUR 50 million (EUR 450 million in 2011) of non-recurring IPR income. The non-recurring IPR income relates to new patent license agreements for the respective years that included settlements of past royalties and accordingly is not expected to have a recurring benefit."  Form 20F, 2012, p 110, "Within Devices &amp; Services Other, we estimate that our current annual IPR income run-rate is approximately EUR 0.5 billion."  In 2011, entered into production with Microsoft of the Lumia phone.  We are paying Microsoft a software royalty fee to license the Windows Phone smartphone platform, which we record as royalty expense in our Smart Devices cost of goods sold.The Microsoft partnership also recognizes the value of intellectual property and puts in place mechanisms for exchanging intellectual property rights.  Nokia 20F 2011, page 118. Notes that the EUR 450 million is non recurring. Devices &amp; Services Other includes intellectual property income, net sales of spare parts and related cost of sales and operating expenses and common research and development expenses.</t>
  </si>
  <si>
    <t>We assume that 2008 percent as in 2012, which biases results upwards</t>
  </si>
  <si>
    <t>We assume that 2007 percent as in 2012, which biases results upwards</t>
  </si>
  <si>
    <t>We assume that 2009 percent as in 2012, which biases results upwards</t>
  </si>
  <si>
    <t>We assume that 2010 percent as in 2012, which biases results upwards</t>
  </si>
  <si>
    <t>We assume that 2011 percent as in 2012, which biases results upwards</t>
  </si>
  <si>
    <t>Tivo has historically focused in licensing DVR functionality in digital television set top boxes to video service providers and set top box OEMs, while Rovi has historically focused its patent monetization activities in TV program guides and optical disc content protection programs, again principally to video service providers.  In recent years the company has sought to expand its licensing programs into OTT video (e.g. Netflix) and consumer electronics.  This consumer electronics licensing may include some licensing of smartphones.</t>
  </si>
  <si>
    <t>We use mobile device volumes as aggregated by Tim Long of BMO Capital.</t>
  </si>
  <si>
    <t>No royalty per unit, &lt; 50,000</t>
  </si>
  <si>
    <t xml:space="preserve">It is unclear as to whether Vectis is earning royalties, although perhaps any agreements may be confidential.  We do not believe that the magnitude of Vectis business is such that it would significantly affect the magnitude of total industry royalties.  Given that it was only formed in mid-2015, and lists no licensees, its revenues for 2015 are not material; neither could we find estimates of 2016 royalty revenues. </t>
  </si>
  <si>
    <t>It is not apparent whether IP Bridge earns royalty income at present, and if so whether it does so through conventional arm's length license agreements as opposed to transactions related to it and its investor INCJ's public-private partnership and mission.</t>
  </si>
  <si>
    <t>As a privately held company, IV discloses relatively little information, though it has stated the magnitude of its total royalties earned, and provided an implication as to the annual royalties earned.  We can make a gross assumption as to the proportion earned from mobile devices.</t>
  </si>
  <si>
    <t>We thank the great many academics and industry participants, including licensing executives, experts, attorneys and advisors  who contributed perspectives and assisted us in building our knowledge and in assembling this data set.
We also thank the readers, and hope that where possible you will communicate your perspectives so that we may improve the accuracy, comprehensiveness, and quality of this document and data set.
We endeavor to provide this data set, as well as future improvements to it, to the interested community in order to assist it in understanding this industry, formulating new quesitons, and where possible, embarking in new research.</t>
  </si>
  <si>
    <t>Finally, we improved data formatting to make make it more consistent across the spreadsheet, fixed a few typos and errors in transcription, and added several links that reference current documentation.</t>
  </si>
  <si>
    <t>Third, whenever possible, we improved our estimation for each covered company and corrected small mistakes. Our main addition is coverage of the licensing revenue of three patent pools, Via Licensing AAC, MPEGLA MPEG4 and MPEGLA AVC H.264, since their inception in 2007.  When we first released this database, we had an estimation for these pools only for 2015.  Additions and corrections imply that our current estimates of the Average Cumulative Royalty Yield for 2015 and before are slightly different from the estimates we reported when we first released the database in September 2016.</t>
  </si>
  <si>
    <t xml:space="preserve">In an ideal world for researchers, mobile phone Original Equipment Manufacturers (OEMs), Electronics Manufacturer Services (EMSs), Original Design Manufacturers (ODMs) and component manufacturers in the mobile phone value chain would report the identities of the IP holders from whom they license and the value of the payments to each of those licensors.  It would then be possible to determine the “IP Bill of Materials (BoM)” paid by each firm  in the mobile phone value chain.  From there, one could calculate a weighted average BoM for every firm in the value chain, with the weights determined by their relative contribution to total mobile phone sales. </t>
  </si>
  <si>
    <t>Another way to put these numbers into perspective is to ask how they compare to those from earlier years.  Because we take a time-series approach, some of our firm-level revenue estimates go back to 2000. By 2007, we have data for 17 firms, which accounted for 74% percent of all royalty revenues in 2016. By 2009, we have data on 22 firms, and these accounted for 88 percent of all royalty revenues in 2016. As Figure 1.4.1 shows, both of those series are remarkably stable. The 2009-16 series, for example, hovers at around 3 percent, falling only marginally during the last three years.</t>
  </si>
  <si>
    <t xml:space="preserve">Also, while the total cumulative yield fell from $14.5 billion in 2015 to $14.2 billion in 2016, the composition barely changed.  At the same time, the royalty yields of individual licensors may vary a lot from year to year. For example, Ericson’s royalty yield fell by $536 million, from $1.7 billion in 2015 to $1.16 billion in 2016. Interdigital’s royalty yield, by contrast, rose by $223 million, from $432 million in 2015 to $655 million in 2016. </t>
  </si>
  <si>
    <t xml:space="preserve">What would happen if we imputed the royalties of firms that we know earn some licensing revenues, but that do not provide enough information for us to estimate those revenues on a firm-by-firm basis?  As Table 4 shows, the results would be a modest increase in the Average Cumulative Royalty Yield of smartphones. For example, if we assume that these firms as a group earned $1 billion in licensing revenues in 2016, which would be a generous assumption, then the royalty yield on a smartphone would increase from 3.4 percent to come to 3.7 percent. If we make the extremely generous assumption that the combined royalties of these firms came to $2 billion, then the cumulative average royalty yield would still only be 3.9 percent. </t>
  </si>
  <si>
    <t xml:space="preserve">What if we pushed harder still, and made three strong assumptions: all royalties are earned on smartphones; the evasion rate is 30 percent; and the royalties firms in the “Other” un-enumerated category was $2 billion?  How high would this push our  estimate of the Average Cumulative Royalty Yield? As Tab 1.6 shows, the answer is 5.6 percent. </t>
  </si>
  <si>
    <t>Phone: (650) 723 1348</t>
  </si>
  <si>
    <t xml:space="preserve">Philips licenses its AAC SEPs via the Via AAC pool. We capture that revenue in the tab for that pool. </t>
  </si>
  <si>
    <t>Foot (1)</t>
  </si>
  <si>
    <t>Foot (2)</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</si>
</sst>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quot;$&quot;\ * #,##0.00_-;\-&quot;$&quot;\ * #,##0.00_-;_-&quot;$&quot;\ * &quot;-&quot;??_-;_-@_-"/>
    <numFmt numFmtId="43" formatCode="_-* #,##0.00_-;\-* #,##0.00_-;_-* &quot;-&quot;??_-;_-@_-"/>
    <numFmt numFmtId="164" formatCode="&quot;$&quot;#,##0_);\(&quot;$&quot;#,##0\)"/>
    <numFmt numFmtId="165" formatCode="_(&quot;$&quot;* #,##0.00_);_(&quot;$&quot;* \(#,##0.00\);_(&quot;$&quot;* &quot;-&quot;??_);_(@_)"/>
    <numFmt numFmtId="166" formatCode="_(* #,##0.00_);_(* \(#,##0.00\);_(* &quot;-&quot;??_);_(@_)"/>
    <numFmt numFmtId="167" formatCode="&quot;$&quot;#,##0"/>
    <numFmt numFmtId="168" formatCode="0.0%"/>
    <numFmt numFmtId="169" formatCode="#,##0[$€-243B]"/>
    <numFmt numFmtId="170" formatCode="#,##0[$SEK-143B]"/>
    <numFmt numFmtId="171" formatCode="&quot;$&quot;#,##0.00"/>
    <numFmt numFmtId="172" formatCode="0.0"/>
    <numFmt numFmtId="173" formatCode="_(* #,##0_);_(* \(#,##0\);_(* &quot;-&quot;??_);_(@_)"/>
    <numFmt numFmtId="174" formatCode="_(&quot;$&quot;* #,##0_);_(&quot;$&quot;* \(#,##0\);_(&quot;$&quot;* &quot;-&quot;??_);_(@_)"/>
    <numFmt numFmtId="175" formatCode="0.000%"/>
    <numFmt numFmtId="176" formatCode="[$€-C07]\ #,##0"/>
    <numFmt numFmtId="177" formatCode="_(* #,##0.000_);_(* \(#,##0.000\);_(* &quot;-&quot;??_);_(@_)"/>
    <numFmt numFmtId="178" formatCode="_([$€-2]\ * #,##0_);_([$€-2]\ * \(#,##0\);_([$€-2]\ * &quot;-&quot;??_);_(@_)"/>
    <numFmt numFmtId="179" formatCode="#,##0\ [$SEK-143B]"/>
    <numFmt numFmtId="180" formatCode="_(* #,##0.0_);_(* \(#,##0.0\);_(* &quot;-&quot;??_);_(@_)"/>
    <numFmt numFmtId="181" formatCode="_(* #,##0.0000_);_(* \(#,##0.0000\);_(* &quot;-&quot;??_);_(@_)"/>
    <numFmt numFmtId="182" formatCode="_([$€-2]\ * #,##0.00_);_([$€-2]\ * \(#,##0.00\);_([$€-2]\ * &quot;-&quot;??_);_(@_)"/>
    <numFmt numFmtId="183" formatCode="_-[$$-1009]* #,##0.00_-;\-[$$-1009]* #,##0.00_-;_-[$$-1009]* &quot;-&quot;??_-;_-@_-"/>
    <numFmt numFmtId="184" formatCode="_(&quot;$&quot;* #,##0.000_);_(&quot;$&quot;* \(#,##0.000\);_(&quot;$&quot;* &quot;-&quot;??_);_(@_)"/>
    <numFmt numFmtId="185" formatCode="0.000"/>
    <numFmt numFmtId="186" formatCode="#,##0.000"/>
    <numFmt numFmtId="187" formatCode="_-* #,##0.000_-;\-* #,##0.000_-;_-* &quot;-&quot;??_-;_-@_-"/>
    <numFmt numFmtId="188" formatCode="_-* #,##0_-;\-* #,##0_-;_-* &quot;-&quot;??_-;_-@_-"/>
    <numFmt numFmtId="189" formatCode="_(&quot;$&quot;* #,##0.0000_);_(&quot;$&quot;* \(#,##0.0000\);_(&quot;$&quot;* &quot;-&quot;??_);_(@_)"/>
  </numFmts>
  <fonts count="60">
    <font>
      <sz val="12"/>
      <color theme="1"/>
      <name val="Calibri"/>
      <family val="2"/>
      <scheme val="minor"/>
    </font>
    <font>
      <sz val="11"/>
      <color theme="1"/>
      <name val="Calibri"/>
      <family val="2"/>
      <scheme val="minor"/>
    </font>
    <font>
      <sz val="11"/>
      <color theme="1"/>
      <name val="Calibri"/>
      <family val="2"/>
      <scheme val="minor"/>
    </font>
    <font>
      <sz val="12"/>
      <name val="Calibri"/>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charset val="238"/>
      <scheme val="minor"/>
    </font>
    <font>
      <u/>
      <sz val="12"/>
      <color theme="11"/>
      <name val="Calibri"/>
      <family val="2"/>
      <charset val="238"/>
      <scheme val="minor"/>
    </font>
    <font>
      <sz val="12"/>
      <color rgb="FF000000"/>
      <name val="Calibri"/>
      <family val="2"/>
      <charset val="238"/>
      <scheme val="minor"/>
    </font>
    <font>
      <sz val="10"/>
      <name val="Arial"/>
      <family val="2"/>
    </font>
    <font>
      <b/>
      <sz val="12"/>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6"/>
      <color theme="1"/>
      <name val="Calibri"/>
      <family val="2"/>
      <scheme val="minor"/>
    </font>
    <font>
      <sz val="14"/>
      <color theme="1"/>
      <name val="Calibri"/>
      <family val="2"/>
      <scheme val="minor"/>
    </font>
    <font>
      <sz val="20"/>
      <color theme="1"/>
      <name val="Calibri"/>
      <family val="2"/>
      <scheme val="minor"/>
    </font>
    <font>
      <sz val="18"/>
      <color theme="1"/>
      <name val="Calibri"/>
      <family val="2"/>
      <scheme val="minor"/>
    </font>
    <font>
      <i/>
      <sz val="12"/>
      <color theme="1"/>
      <name val="Calibri"/>
      <family val="2"/>
      <scheme val="minor"/>
    </font>
    <font>
      <u/>
      <sz val="12"/>
      <color theme="1"/>
      <name val="Calibri"/>
      <family val="2"/>
      <scheme val="minor"/>
    </font>
    <font>
      <b/>
      <sz val="14"/>
      <color theme="1"/>
      <name val="Calibri"/>
      <family val="2"/>
      <scheme val="minor"/>
    </font>
    <font>
      <b/>
      <sz val="12"/>
      <color rgb="FFFF0000"/>
      <name val="Calibri"/>
      <family val="2"/>
      <scheme val="minor"/>
    </font>
    <font>
      <b/>
      <sz val="12"/>
      <color rgb="FF00B050"/>
      <name val="Calibri"/>
      <family val="2"/>
      <scheme val="minor"/>
    </font>
    <font>
      <b/>
      <u/>
      <sz val="12"/>
      <color theme="10"/>
      <name val="Calibri"/>
      <family val="2"/>
      <scheme val="minor"/>
    </font>
    <font>
      <b/>
      <sz val="12"/>
      <color rgb="FF0432FF"/>
      <name val="Calibri"/>
      <family val="2"/>
      <scheme val="minor"/>
    </font>
    <font>
      <u/>
      <sz val="12"/>
      <color rgb="FF000000"/>
      <name val="Calibri"/>
      <family val="2"/>
      <charset val="238"/>
      <scheme val="minor"/>
    </font>
    <font>
      <b/>
      <i/>
      <sz val="12"/>
      <color theme="1"/>
      <name val="Calibri"/>
      <family val="2"/>
      <scheme val="minor"/>
    </font>
    <font>
      <sz val="12"/>
      <color theme="0"/>
      <name val="Calibri"/>
      <family val="2"/>
      <scheme val="minor"/>
    </font>
    <font>
      <u/>
      <sz val="10"/>
      <color theme="1"/>
      <name val="Calibri"/>
      <family val="2"/>
      <scheme val="minor"/>
    </font>
    <font>
      <u/>
      <vertAlign val="superscript"/>
      <sz val="12"/>
      <color theme="1"/>
      <name val="Calibri"/>
      <family val="2"/>
      <scheme val="minor"/>
    </font>
    <font>
      <b/>
      <sz val="12"/>
      <color rgb="FF000000"/>
      <name val="Calibri"/>
      <family val="2"/>
      <scheme val="minor"/>
    </font>
    <font>
      <b/>
      <sz val="12"/>
      <color theme="0"/>
      <name val="Calibri"/>
      <family val="2"/>
      <scheme val="minor"/>
    </font>
    <font>
      <sz val="12"/>
      <color rgb="FF0432FF"/>
      <name val="Calibri"/>
      <family val="2"/>
      <scheme val="minor"/>
    </font>
    <font>
      <sz val="10"/>
      <color theme="0"/>
      <name val="Calibri"/>
      <family val="2"/>
      <scheme val="minor"/>
    </font>
    <font>
      <u/>
      <sz val="10"/>
      <name val="Arial"/>
      <family val="2"/>
    </font>
    <font>
      <sz val="12"/>
      <name val="Calibri"/>
      <family val="2"/>
      <scheme val="minor"/>
    </font>
    <font>
      <u/>
      <sz val="12"/>
      <color rgb="FF000000"/>
      <name val="Calibri"/>
      <family val="2"/>
    </font>
    <font>
      <sz val="12"/>
      <color rgb="FF000000"/>
      <name val="Calibri"/>
      <family val="2"/>
    </font>
    <font>
      <sz val="11"/>
      <color theme="1"/>
      <name val="Times New Roman"/>
      <family val="1"/>
    </font>
    <font>
      <sz val="12"/>
      <color theme="1"/>
      <name val="Calibri"/>
      <family val="2"/>
    </font>
    <font>
      <sz val="10"/>
      <color indexed="81"/>
      <name val="Calibri"/>
      <family val="2"/>
    </font>
    <font>
      <b/>
      <sz val="10"/>
      <color indexed="81"/>
      <name val="Calibri"/>
      <family val="2"/>
    </font>
    <font>
      <b/>
      <sz val="12"/>
      <name val="Calibri"/>
      <family val="2"/>
      <scheme val="minor"/>
    </font>
    <font>
      <u/>
      <sz val="12"/>
      <name val="Calibri"/>
      <family val="2"/>
      <scheme val="minor"/>
    </font>
    <font>
      <sz val="12"/>
      <color theme="0" tint="-0.14999847407452621"/>
      <name val="Calibri"/>
      <family val="2"/>
      <scheme val="minor"/>
    </font>
    <font>
      <i/>
      <u/>
      <sz val="12"/>
      <color theme="1"/>
      <name val="Calibri (Body)"/>
    </font>
    <font>
      <sz val="12"/>
      <color theme="1"/>
      <name val="Arial"/>
      <family val="2"/>
    </font>
    <font>
      <b/>
      <sz val="12"/>
      <color rgb="FF0432FF"/>
      <name val="Arial"/>
      <family val="2"/>
    </font>
    <font>
      <sz val="12"/>
      <color rgb="FFFF0000"/>
      <name val="Arial"/>
      <family val="2"/>
    </font>
    <font>
      <u/>
      <sz val="12"/>
      <color theme="1"/>
      <name val="Calibri"/>
      <family val="2"/>
    </font>
    <font>
      <b/>
      <sz val="12"/>
      <color rgb="FF0432FF"/>
      <name val="Calibri"/>
      <family val="2"/>
    </font>
    <font>
      <sz val="12"/>
      <color rgb="FFFF0000"/>
      <name val="Calibri"/>
      <family val="2"/>
    </font>
    <font>
      <b/>
      <sz val="12"/>
      <color rgb="FF0000FF"/>
      <name val="Calibri"/>
      <family val="2"/>
      <scheme val="minor"/>
    </font>
    <font>
      <sz val="11"/>
      <color theme="1"/>
      <name val="Calibri"/>
      <family val="2"/>
    </font>
    <font>
      <sz val="11"/>
      <color theme="0"/>
      <name val="Calibri"/>
      <family val="2"/>
      <scheme val="minor"/>
    </font>
    <font>
      <sz val="11"/>
      <color rgb="FF0432FF"/>
      <name val="Calibri"/>
      <family val="2"/>
      <scheme val="minor"/>
    </font>
    <font>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1166">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1"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166" fontId="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5" fontId="4" fillId="0" borderId="0" applyFont="0" applyFill="0" applyBorder="0" applyAlignment="0" applyProtection="0"/>
    <xf numFmtId="0" fontId="2" fillId="0" borderId="0"/>
    <xf numFmtId="43" fontId="2" fillId="0" borderId="0" applyFont="0" applyFill="0" applyBorder="0" applyAlignment="0" applyProtection="0"/>
  </cellStyleXfs>
  <cellXfs count="578">
    <xf numFmtId="0" fontId="0" fillId="0" borderId="0" xfId="0"/>
    <xf numFmtId="167" fontId="0" fillId="0" borderId="0" xfId="0" applyNumberFormat="1"/>
    <xf numFmtId="0" fontId="10" fillId="0" borderId="0" xfId="0" applyFont="1"/>
    <xf numFmtId="0" fontId="0" fillId="0" borderId="0" xfId="0" applyAlignment="1"/>
    <xf numFmtId="170" fontId="0" fillId="0" borderId="0" xfId="0" applyNumberFormat="1"/>
    <xf numFmtId="3" fontId="0" fillId="0" borderId="0" xfId="0" applyNumberFormat="1"/>
    <xf numFmtId="0" fontId="0" fillId="0" borderId="0" xfId="0" applyBorder="1"/>
    <xf numFmtId="0" fontId="0" fillId="0" borderId="2" xfId="0" applyBorder="1"/>
    <xf numFmtId="0" fontId="0" fillId="0" borderId="0" xfId="0" applyFont="1"/>
    <xf numFmtId="0" fontId="12" fillId="0" borderId="0" xfId="0" applyFont="1"/>
    <xf numFmtId="0" fontId="12" fillId="0" borderId="0" xfId="0" applyFont="1" applyAlignment="1">
      <alignment wrapText="1"/>
    </xf>
    <xf numFmtId="0" fontId="10" fillId="0" borderId="2" xfId="0" applyFont="1" applyBorder="1"/>
    <xf numFmtId="0" fontId="0" fillId="0" borderId="0" xfId="0" applyFill="1" applyBorder="1"/>
    <xf numFmtId="0" fontId="10" fillId="0" borderId="0" xfId="0" applyFont="1" applyBorder="1"/>
    <xf numFmtId="0" fontId="10" fillId="0" borderId="0" xfId="0" applyFont="1" applyFill="1" applyBorder="1"/>
    <xf numFmtId="0" fontId="10" fillId="0" borderId="2" xfId="0" applyFont="1" applyFill="1" applyBorder="1"/>
    <xf numFmtId="167" fontId="0" fillId="0" borderId="0" xfId="0" applyNumberFormat="1" applyBorder="1"/>
    <xf numFmtId="3" fontId="0" fillId="0" borderId="0" xfId="0" applyNumberFormat="1" applyBorder="1"/>
    <xf numFmtId="0" fontId="0" fillId="0" borderId="3" xfId="0" applyBorder="1"/>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3" fontId="13" fillId="0" borderId="0" xfId="0" applyNumberFormat="1" applyFont="1" applyAlignment="1">
      <alignment horizontal="right" vertical="center"/>
    </xf>
    <xf numFmtId="168" fontId="13" fillId="0" borderId="0" xfId="0" applyNumberFormat="1" applyFont="1" applyAlignment="1">
      <alignment horizontal="left" vertical="center"/>
    </xf>
    <xf numFmtId="0" fontId="14" fillId="0" borderId="0" xfId="0" applyFont="1"/>
    <xf numFmtId="0" fontId="14" fillId="0" borderId="0" xfId="0" applyFont="1" applyBorder="1" applyAlignment="1">
      <alignment horizontal="center"/>
    </xf>
    <xf numFmtId="3" fontId="14" fillId="0" borderId="0" xfId="0" applyNumberFormat="1" applyFont="1"/>
    <xf numFmtId="168" fontId="14" fillId="0" borderId="0" xfId="0" applyNumberFormat="1" applyFont="1"/>
    <xf numFmtId="171" fontId="14" fillId="0" borderId="0" xfId="0" applyNumberFormat="1" applyFont="1"/>
    <xf numFmtId="3" fontId="14" fillId="0" borderId="0" xfId="0" applyNumberFormat="1" applyFont="1" applyFill="1" applyBorder="1" applyAlignment="1" applyProtection="1">
      <alignment horizontal="right" vertical="center"/>
    </xf>
    <xf numFmtId="0" fontId="14" fillId="0" borderId="0" xfId="0" applyFont="1" applyBorder="1"/>
    <xf numFmtId="10" fontId="14" fillId="0" borderId="0" xfId="0" applyNumberFormat="1" applyFont="1"/>
    <xf numFmtId="175" fontId="14" fillId="0" borderId="0" xfId="0" applyNumberFormat="1" applyFont="1"/>
    <xf numFmtId="0" fontId="8" fillId="0" borderId="0" xfId="350"/>
    <xf numFmtId="0" fontId="0" fillId="0" borderId="0" xfId="0" applyAlignment="1"/>
    <xf numFmtId="0" fontId="0" fillId="0" borderId="0" xfId="0" applyAlignment="1">
      <alignment horizontal="center"/>
    </xf>
    <xf numFmtId="0" fontId="0" fillId="0" borderId="0" xfId="0" applyAlignment="1">
      <alignment wrapText="1"/>
    </xf>
    <xf numFmtId="0" fontId="17" fillId="0" borderId="0" xfId="0" applyFont="1"/>
    <xf numFmtId="0" fontId="0" fillId="0" borderId="0" xfId="0" applyAlignment="1">
      <alignment wrapText="1"/>
    </xf>
    <xf numFmtId="0" fontId="0" fillId="0" borderId="0" xfId="0" quotePrefix="1" applyAlignment="1">
      <alignment wrapText="1"/>
    </xf>
    <xf numFmtId="0" fontId="0" fillId="0" borderId="0" xfId="0" applyFill="1" applyBorder="1" applyAlignment="1">
      <alignment wrapText="1"/>
    </xf>
    <xf numFmtId="0" fontId="10" fillId="0" borderId="0" xfId="0" applyFont="1" applyAlignment="1">
      <alignment wrapText="1"/>
    </xf>
    <xf numFmtId="0" fontId="8" fillId="0" borderId="0" xfId="350" applyAlignment="1">
      <alignment wrapText="1"/>
    </xf>
    <xf numFmtId="0" fontId="19" fillId="0" borderId="0" xfId="0" applyFont="1"/>
    <xf numFmtId="0" fontId="20" fillId="0" borderId="0" xfId="0" applyFont="1"/>
    <xf numFmtId="0" fontId="0" fillId="0" borderId="0" xfId="0" applyAlignment="1">
      <alignment horizontal="left" indent="1"/>
    </xf>
    <xf numFmtId="167" fontId="0" fillId="0" borderId="0" xfId="0" applyNumberFormat="1" applyAlignment="1">
      <alignment wrapText="1"/>
    </xf>
    <xf numFmtId="0" fontId="0" fillId="0" borderId="4" xfId="0" applyFont="1" applyBorder="1" applyAlignment="1">
      <alignment horizontal="center" wrapText="1"/>
    </xf>
    <xf numFmtId="0" fontId="0" fillId="0" borderId="4" xfId="0"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22" fillId="0" borderId="0" xfId="0" applyFont="1"/>
    <xf numFmtId="0" fontId="21" fillId="0" borderId="0" xfId="0" applyFont="1"/>
    <xf numFmtId="0" fontId="23" fillId="0" borderId="0" xfId="0" applyFont="1"/>
    <xf numFmtId="0" fontId="25" fillId="0" borderId="0" xfId="0" applyFont="1"/>
    <xf numFmtId="0" fontId="23" fillId="0" borderId="0" xfId="0" applyFont="1" applyAlignment="1">
      <alignment wrapText="1"/>
    </xf>
    <xf numFmtId="0" fontId="26" fillId="0" borderId="0" xfId="350" applyFont="1"/>
    <xf numFmtId="0" fontId="0" fillId="0" borderId="0" xfId="0" applyAlignment="1">
      <alignment horizontal="center" vertical="center"/>
    </xf>
    <xf numFmtId="0" fontId="19" fillId="0" borderId="0" xfId="0" applyFont="1" applyAlignment="1">
      <alignment horizontal="center"/>
    </xf>
    <xf numFmtId="0" fontId="19" fillId="0" borderId="0" xfId="0" applyFont="1" applyAlignment="1">
      <alignment horizontal="center" vertical="center"/>
    </xf>
    <xf numFmtId="0" fontId="8" fillId="0" borderId="0" xfId="350" applyAlignment="1">
      <alignment horizontal="left" indent="1"/>
    </xf>
    <xf numFmtId="0" fontId="23" fillId="0" borderId="0" xfId="0" applyFont="1" applyAlignment="1"/>
    <xf numFmtId="0" fontId="0" fillId="0" borderId="0" xfId="0" applyFont="1" applyAlignment="1">
      <alignment wrapText="1"/>
    </xf>
    <xf numFmtId="172" fontId="8" fillId="0" borderId="0" xfId="350" quotePrefix="1" applyNumberFormat="1" applyAlignment="1">
      <alignment horizontal="left" indent="1"/>
    </xf>
    <xf numFmtId="0" fontId="8" fillId="0" borderId="0" xfId="350" applyAlignment="1">
      <alignment horizontal="left" indent="2"/>
    </xf>
    <xf numFmtId="0" fontId="12" fillId="0" borderId="0" xfId="0" applyFont="1" applyBorder="1" applyAlignment="1">
      <alignment wrapText="1"/>
    </xf>
    <xf numFmtId="0" fontId="22" fillId="0" borderId="0" xfId="0" applyFont="1" applyAlignment="1">
      <alignment horizontal="center"/>
    </xf>
    <xf numFmtId="0" fontId="0" fillId="0" borderId="0" xfId="0" applyAlignment="1">
      <alignment horizontal="left" wrapText="1" indent="2"/>
    </xf>
    <xf numFmtId="0" fontId="0" fillId="0" borderId="0" xfId="0" applyFont="1" applyAlignment="1">
      <alignment horizontal="left" wrapText="1" indent="3"/>
    </xf>
    <xf numFmtId="0" fontId="0" fillId="0" borderId="0" xfId="0" applyAlignment="1">
      <alignment horizontal="left" wrapText="1" indent="3"/>
    </xf>
    <xf numFmtId="9" fontId="0" fillId="0" borderId="0" xfId="1148" applyFont="1" applyAlignment="1">
      <alignment horizontal="left"/>
    </xf>
    <xf numFmtId="0" fontId="0" fillId="0" borderId="0" xfId="0" applyAlignment="1">
      <alignment horizontal="center" wrapText="1"/>
    </xf>
    <xf numFmtId="0" fontId="0" fillId="0" borderId="0" xfId="0" applyBorder="1" applyAlignment="1">
      <alignment horizontal="center"/>
    </xf>
    <xf numFmtId="0" fontId="0" fillId="0" borderId="0" xfId="0" applyAlignment="1">
      <alignment wrapText="1"/>
    </xf>
    <xf numFmtId="0" fontId="22" fillId="0" borderId="0" xfId="0" applyFont="1" applyAlignment="1">
      <alignment wrapText="1"/>
    </xf>
    <xf numFmtId="0" fontId="22" fillId="0" borderId="0" xfId="0" applyFont="1" applyAlignment="1">
      <alignment horizontal="center" wrapText="1"/>
    </xf>
    <xf numFmtId="0" fontId="0" fillId="0" borderId="0" xfId="0" applyAlignment="1">
      <alignment wrapText="1"/>
    </xf>
    <xf numFmtId="0" fontId="0" fillId="0" borderId="0" xfId="0" applyAlignment="1">
      <alignment horizontal="left" wrapText="1" indent="1"/>
    </xf>
    <xf numFmtId="0" fontId="22" fillId="0" borderId="0" xfId="0" applyFont="1" applyAlignment="1">
      <alignment horizontal="left" wrapText="1"/>
    </xf>
    <xf numFmtId="0" fontId="0" fillId="0" borderId="0" xfId="0" applyAlignment="1">
      <alignment horizontal="left"/>
    </xf>
    <xf numFmtId="0" fontId="22" fillId="0" borderId="2" xfId="0" applyFont="1" applyBorder="1" applyAlignment="1">
      <alignment horizontal="center"/>
    </xf>
    <xf numFmtId="167" fontId="0" fillId="0" borderId="2" xfId="0" applyNumberFormat="1" applyBorder="1"/>
    <xf numFmtId="0" fontId="22" fillId="0" borderId="2" xfId="0" applyFont="1" applyBorder="1" applyAlignment="1">
      <alignment horizontal="center" wrapText="1"/>
    </xf>
    <xf numFmtId="167" fontId="0" fillId="0" borderId="2" xfId="0" applyNumberFormat="1" applyBorder="1" applyAlignment="1">
      <alignment horizontal="center"/>
    </xf>
    <xf numFmtId="176" fontId="0" fillId="0" borderId="0" xfId="0" applyNumberFormat="1" applyAlignment="1">
      <alignment horizontal="center"/>
    </xf>
    <xf numFmtId="0" fontId="10" fillId="0" borderId="0" xfId="0" applyFont="1" applyAlignment="1">
      <alignment horizontal="center"/>
    </xf>
    <xf numFmtId="177" fontId="0" fillId="0" borderId="0" xfId="1150" applyNumberFormat="1" applyFont="1" applyAlignment="1">
      <alignment horizontal="center"/>
    </xf>
    <xf numFmtId="177" fontId="0" fillId="0" borderId="0" xfId="1150" applyNumberFormat="1" applyFont="1" applyAlignment="1"/>
    <xf numFmtId="177" fontId="10" fillId="0" borderId="0" xfId="1150" applyNumberFormat="1" applyFont="1" applyAlignment="1"/>
    <xf numFmtId="0" fontId="28" fillId="0" borderId="0" xfId="0" applyFont="1" applyAlignment="1">
      <alignment horizontal="center" wrapText="1"/>
    </xf>
    <xf numFmtId="169" fontId="0" fillId="0" borderId="0" xfId="0" applyNumberFormat="1" applyAlignment="1">
      <alignment horizontal="center"/>
    </xf>
    <xf numFmtId="178" fontId="0" fillId="0" borderId="0" xfId="0" applyNumberFormat="1" applyAlignment="1">
      <alignment horizontal="center"/>
    </xf>
    <xf numFmtId="174" fontId="0" fillId="0" borderId="0" xfId="1149" applyNumberFormat="1" applyFont="1" applyAlignment="1">
      <alignment horizontal="center"/>
    </xf>
    <xf numFmtId="174" fontId="0" fillId="0" borderId="2" xfId="1149" applyNumberFormat="1" applyFont="1" applyBorder="1" applyAlignment="1">
      <alignment horizontal="center"/>
    </xf>
    <xf numFmtId="179" fontId="0" fillId="0" borderId="0" xfId="0" applyNumberFormat="1"/>
    <xf numFmtId="165" fontId="0" fillId="0" borderId="0" xfId="1149" applyFont="1"/>
    <xf numFmtId="174" fontId="0" fillId="0" borderId="0" xfId="1149" applyNumberFormat="1" applyFont="1"/>
    <xf numFmtId="174" fontId="0" fillId="0" borderId="2" xfId="1149" applyNumberFormat="1" applyFont="1" applyBorder="1"/>
    <xf numFmtId="0" fontId="0" fillId="0" borderId="2" xfId="0" applyBorder="1" applyAlignment="1">
      <alignment horizontal="center"/>
    </xf>
    <xf numFmtId="174" fontId="0" fillId="0" borderId="0" xfId="1149" applyNumberFormat="1" applyFont="1" applyAlignment="1">
      <alignment horizontal="center" vertical="center"/>
    </xf>
    <xf numFmtId="178" fontId="0" fillId="0" borderId="0" xfId="0" applyNumberFormat="1"/>
    <xf numFmtId="9" fontId="0" fillId="0" borderId="0" xfId="0" applyNumberFormat="1" applyAlignment="1">
      <alignment horizontal="center"/>
    </xf>
    <xf numFmtId="168" fontId="0" fillId="0" borderId="0" xfId="0" applyNumberFormat="1" applyAlignment="1">
      <alignment horizontal="center"/>
    </xf>
    <xf numFmtId="0" fontId="23" fillId="0" borderId="0" xfId="0" applyFont="1" applyBorder="1"/>
    <xf numFmtId="0" fontId="18" fillId="0" borderId="0" xfId="0" applyFont="1" applyBorder="1"/>
    <xf numFmtId="0" fontId="24" fillId="0" borderId="0" xfId="0" applyFont="1" applyBorder="1"/>
    <xf numFmtId="0" fontId="22" fillId="0" borderId="0" xfId="0" applyFont="1" applyBorder="1" applyAlignment="1">
      <alignment horizontal="center" wrapText="1"/>
    </xf>
    <xf numFmtId="0" fontId="12" fillId="0" borderId="0" xfId="0" applyFont="1" applyBorder="1"/>
    <xf numFmtId="0" fontId="12" fillId="0" borderId="0" xfId="0" applyFont="1" applyFill="1" applyBorder="1"/>
    <xf numFmtId="9" fontId="0" fillId="0" borderId="0" xfId="1148" applyFont="1" applyAlignment="1">
      <alignment horizontal="center"/>
    </xf>
    <xf numFmtId="0" fontId="0" fillId="0" borderId="0" xfId="0" applyAlignment="1">
      <alignment horizontal="center" wrapText="1"/>
    </xf>
    <xf numFmtId="0" fontId="0" fillId="0" borderId="0" xfId="0" applyBorder="1" applyAlignment="1">
      <alignment horizontal="center"/>
    </xf>
    <xf numFmtId="0" fontId="0" fillId="0" borderId="0" xfId="0" applyAlignment="1">
      <alignment wrapText="1"/>
    </xf>
    <xf numFmtId="0" fontId="0" fillId="0" borderId="0" xfId="0" applyFill="1" applyAlignment="1">
      <alignment wrapText="1"/>
    </xf>
    <xf numFmtId="174" fontId="0" fillId="0" borderId="0" xfId="1149" applyNumberFormat="1" applyFont="1" applyFill="1"/>
    <xf numFmtId="0" fontId="8" fillId="0" borderId="0" xfId="350" applyFill="1" applyAlignment="1">
      <alignment horizontal="left" indent="1"/>
    </xf>
    <xf numFmtId="0" fontId="0" fillId="0" borderId="0" xfId="0" applyFill="1"/>
    <xf numFmtId="174" fontId="0" fillId="0" borderId="3" xfId="1149" applyNumberFormat="1" applyFont="1" applyBorder="1"/>
    <xf numFmtId="0" fontId="0" fillId="0" borderId="0" xfId="0" applyAlignment="1">
      <alignment wrapText="1"/>
    </xf>
    <xf numFmtId="0" fontId="0" fillId="0" borderId="0" xfId="0" applyAlignment="1">
      <alignment horizontal="left" wrapText="1"/>
    </xf>
    <xf numFmtId="0" fontId="0" fillId="0" borderId="0" xfId="0" quotePrefix="1" applyAlignment="1">
      <alignment horizontal="left" wrapText="1"/>
    </xf>
    <xf numFmtId="167" fontId="0" fillId="0" borderId="3" xfId="0" applyNumberFormat="1" applyBorder="1" applyAlignment="1">
      <alignment horizontal="center" wrapText="1"/>
    </xf>
    <xf numFmtId="167" fontId="0" fillId="0" borderId="0" xfId="0" applyNumberFormat="1" applyAlignment="1">
      <alignment horizontal="center" wrapText="1"/>
    </xf>
    <xf numFmtId="168" fontId="0" fillId="0" borderId="0" xfId="0" applyNumberFormat="1" applyAlignment="1">
      <alignment horizontal="center" wrapText="1"/>
    </xf>
    <xf numFmtId="0" fontId="14" fillId="0" borderId="0" xfId="0" applyFont="1" applyAlignment="1">
      <alignment horizontal="center"/>
    </xf>
    <xf numFmtId="0" fontId="31" fillId="0" borderId="0" xfId="0" applyFont="1" applyAlignment="1">
      <alignment wrapText="1"/>
    </xf>
    <xf numFmtId="0" fontId="31" fillId="0" borderId="0" xfId="0" applyFont="1" applyAlignment="1">
      <alignment horizontal="center" wrapText="1"/>
    </xf>
    <xf numFmtId="168" fontId="13" fillId="0" borderId="0" xfId="0" applyNumberFormat="1" applyFont="1" applyAlignment="1">
      <alignment horizontal="center" vertical="center"/>
    </xf>
    <xf numFmtId="168" fontId="14" fillId="0" borderId="0" xfId="0" applyNumberFormat="1" applyFont="1" applyAlignment="1">
      <alignment horizontal="center"/>
    </xf>
    <xf numFmtId="171" fontId="14" fillId="0" borderId="0" xfId="0" applyNumberFormat="1" applyFont="1" applyAlignment="1">
      <alignment horizontal="center"/>
    </xf>
    <xf numFmtId="174" fontId="14" fillId="0" borderId="0" xfId="1149" applyNumberFormat="1" applyFont="1"/>
    <xf numFmtId="174" fontId="14" fillId="0" borderId="0" xfId="1149" applyNumberFormat="1" applyFont="1" applyFill="1" applyBorder="1" applyAlignment="1" applyProtection="1">
      <alignment horizontal="right" vertical="center"/>
    </xf>
    <xf numFmtId="3" fontId="13" fillId="0" borderId="2" xfId="0" applyNumberFormat="1" applyFont="1" applyBorder="1" applyAlignment="1">
      <alignment horizontal="right" vertical="center"/>
    </xf>
    <xf numFmtId="3" fontId="14" fillId="0" borderId="2" xfId="0" applyNumberFormat="1" applyFont="1" applyBorder="1"/>
    <xf numFmtId="174" fontId="14" fillId="0" borderId="2" xfId="1149" applyNumberFormat="1" applyFont="1" applyBorder="1"/>
    <xf numFmtId="174" fontId="14" fillId="0" borderId="0" xfId="1149" applyNumberFormat="1" applyFont="1" applyFill="1" applyBorder="1" applyAlignment="1" applyProtection="1">
      <alignment horizontal="center" vertical="center"/>
    </xf>
    <xf numFmtId="0" fontId="31" fillId="0" borderId="2" xfId="0" applyFont="1" applyBorder="1" applyAlignment="1">
      <alignment horizontal="center" wrapText="1"/>
    </xf>
    <xf numFmtId="9" fontId="27" fillId="0" borderId="0" xfId="0" applyNumberFormat="1" applyFont="1" applyBorder="1" applyAlignment="1">
      <alignment horizontal="center"/>
    </xf>
    <xf numFmtId="165" fontId="27" fillId="0" borderId="0" xfId="1149" applyFont="1" applyBorder="1" applyAlignment="1">
      <alignment wrapText="1"/>
    </xf>
    <xf numFmtId="174" fontId="27" fillId="0" borderId="0" xfId="1149" applyNumberFormat="1" applyFont="1" applyBorder="1" applyAlignment="1">
      <alignment wrapText="1"/>
    </xf>
    <xf numFmtId="174" fontId="0" fillId="0" borderId="0" xfId="1149" applyNumberFormat="1" applyFont="1" applyBorder="1"/>
    <xf numFmtId="174" fontId="0" fillId="0" borderId="0" xfId="1149" applyNumberFormat="1" applyFont="1" applyBorder="1" applyAlignment="1"/>
    <xf numFmtId="0" fontId="0" fillId="0" borderId="0" xfId="0" applyFill="1" applyBorder="1" applyAlignment="1">
      <alignment horizontal="center" wrapText="1"/>
    </xf>
    <xf numFmtId="0" fontId="30" fillId="0" borderId="0" xfId="0" applyFont="1"/>
    <xf numFmtId="0" fontId="30" fillId="0" borderId="0" xfId="0" applyFont="1" applyAlignment="1">
      <alignment horizontal="right"/>
    </xf>
    <xf numFmtId="0" fontId="0" fillId="0" borderId="0" xfId="0" applyFont="1" applyBorder="1" applyAlignment="1">
      <alignment horizontal="center" wrapText="1"/>
    </xf>
    <xf numFmtId="0" fontId="22" fillId="0" borderId="0" xfId="0" applyFont="1" applyFill="1" applyBorder="1" applyAlignment="1">
      <alignment horizontal="center" wrapText="1"/>
    </xf>
    <xf numFmtId="174" fontId="10" fillId="0" borderId="0" xfId="1149" applyNumberFormat="1" applyFont="1" applyBorder="1"/>
    <xf numFmtId="168" fontId="0" fillId="0" borderId="0" xfId="0" applyNumberFormat="1" applyBorder="1"/>
    <xf numFmtId="174" fontId="0" fillId="0" borderId="0" xfId="0" applyNumberFormat="1"/>
    <xf numFmtId="0" fontId="22" fillId="0" borderId="2" xfId="0" applyFont="1" applyFill="1" applyBorder="1" applyAlignment="1">
      <alignment horizontal="center" wrapText="1"/>
    </xf>
    <xf numFmtId="174" fontId="0" fillId="0" borderId="2" xfId="1149" applyNumberFormat="1" applyFont="1" applyBorder="1" applyAlignment="1"/>
    <xf numFmtId="0" fontId="0" fillId="0" borderId="0" xfId="0" applyAlignment="1">
      <alignment wrapText="1"/>
    </xf>
    <xf numFmtId="0" fontId="21" fillId="0" borderId="0" xfId="0" applyFont="1" applyAlignment="1"/>
    <xf numFmtId="0" fontId="0" fillId="0" borderId="3" xfId="0" applyBorder="1" applyAlignment="1">
      <alignment horizontal="center"/>
    </xf>
    <xf numFmtId="165" fontId="0" fillId="0" borderId="0" xfId="0" applyNumberFormat="1"/>
    <xf numFmtId="0" fontId="10" fillId="0" borderId="3" xfId="0" applyFont="1" applyFill="1" applyBorder="1"/>
    <xf numFmtId="3" fontId="0" fillId="0" borderId="3" xfId="0" applyNumberFormat="1" applyBorder="1"/>
    <xf numFmtId="174" fontId="0" fillId="0" borderId="1" xfId="1149" applyNumberFormat="1" applyFont="1" applyBorder="1"/>
    <xf numFmtId="3" fontId="10" fillId="0" borderId="0" xfId="0" applyNumberFormat="1" applyFont="1" applyBorder="1"/>
    <xf numFmtId="0" fontId="28" fillId="0" borderId="0" xfId="0" applyFont="1" applyBorder="1"/>
    <xf numFmtId="0" fontId="10" fillId="0" borderId="3" xfId="0" applyFont="1" applyBorder="1"/>
    <xf numFmtId="0" fontId="22" fillId="0" borderId="0" xfId="0" applyFont="1" applyBorder="1"/>
    <xf numFmtId="180" fontId="10" fillId="0" borderId="0" xfId="1150" applyNumberFormat="1" applyFont="1" applyBorder="1"/>
    <xf numFmtId="180" fontId="10" fillId="0" borderId="3" xfId="1150" applyNumberFormat="1" applyFont="1" applyBorder="1"/>
    <xf numFmtId="0" fontId="0" fillId="0" borderId="0" xfId="0" applyFill="1" applyBorder="1" applyAlignment="1">
      <alignment horizontal="center"/>
    </xf>
    <xf numFmtId="0" fontId="0" fillId="0" borderId="0" xfId="0" applyFill="1" applyBorder="1" applyAlignment="1">
      <alignment horizontal="left" wrapText="1"/>
    </xf>
    <xf numFmtId="0" fontId="33" fillId="0" borderId="0" xfId="0" applyFont="1" applyFill="1" applyBorder="1"/>
    <xf numFmtId="0" fontId="22" fillId="0" borderId="0" xfId="0" applyFont="1" applyBorder="1" applyAlignment="1">
      <alignment horizontal="center"/>
    </xf>
    <xf numFmtId="0" fontId="8" fillId="0" borderId="0" xfId="350" applyBorder="1" applyAlignment="1">
      <alignment wrapText="1"/>
    </xf>
    <xf numFmtId="0" fontId="0" fillId="0" borderId="0" xfId="0" applyAlignment="1">
      <alignment horizontal="left"/>
    </xf>
    <xf numFmtId="168" fontId="0" fillId="0" borderId="0" xfId="0" applyNumberFormat="1" applyBorder="1" applyAlignment="1">
      <alignment horizontal="center" wrapText="1"/>
    </xf>
    <xf numFmtId="0" fontId="0" fillId="0" borderId="4" xfId="0" applyBorder="1"/>
    <xf numFmtId="0" fontId="0" fillId="0" borderId="0" xfId="0" applyBorder="1" applyAlignment="1">
      <alignment horizontal="left" wrapText="1"/>
    </xf>
    <xf numFmtId="167" fontId="0" fillId="0" borderId="0" xfId="0" applyNumberFormat="1" applyBorder="1" applyAlignment="1">
      <alignment horizontal="left" wrapText="1"/>
    </xf>
    <xf numFmtId="171" fontId="0" fillId="0" borderId="0" xfId="0" applyNumberFormat="1" applyAlignment="1">
      <alignment horizontal="right"/>
    </xf>
    <xf numFmtId="4" fontId="0" fillId="0" borderId="0" xfId="0" applyNumberFormat="1" applyAlignment="1">
      <alignment horizontal="right"/>
    </xf>
    <xf numFmtId="164" fontId="0" fillId="0" borderId="0" xfId="1149" applyNumberFormat="1" applyFont="1" applyFill="1" applyBorder="1"/>
    <xf numFmtId="0" fontId="0" fillId="0" borderId="0" xfId="0" applyAlignment="1">
      <alignment horizontal="center" wrapText="1"/>
    </xf>
    <xf numFmtId="0" fontId="0" fillId="0" borderId="0" xfId="0" applyAlignment="1">
      <alignment wrapText="1"/>
    </xf>
    <xf numFmtId="0" fontId="0" fillId="0" borderId="0" xfId="0" applyBorder="1" applyAlignment="1">
      <alignment horizontal="center" wrapText="1"/>
    </xf>
    <xf numFmtId="0" fontId="0" fillId="0" borderId="0" xfId="0" applyAlignment="1">
      <alignment horizontal="left"/>
    </xf>
    <xf numFmtId="0" fontId="0" fillId="0" borderId="0" xfId="0" applyAlignment="1">
      <alignment horizontal="left" wrapText="1"/>
    </xf>
    <xf numFmtId="0" fontId="0" fillId="0" borderId="0" xfId="0" applyAlignment="1"/>
    <xf numFmtId="0" fontId="0" fillId="0" borderId="0" xfId="0" applyAlignment="1">
      <alignment horizontal="center"/>
    </xf>
    <xf numFmtId="0" fontId="0" fillId="0" borderId="0" xfId="1150" applyNumberFormat="1" applyFont="1" applyBorder="1" applyAlignment="1">
      <alignment horizontal="center"/>
    </xf>
    <xf numFmtId="0" fontId="27" fillId="0" borderId="0" xfId="0" applyFont="1" applyAlignment="1">
      <alignment horizontal="center" wrapText="1"/>
    </xf>
    <xf numFmtId="0" fontId="8" fillId="0" borderId="0" xfId="350" quotePrefix="1" applyAlignment="1">
      <alignment horizontal="left" indent="1"/>
    </xf>
    <xf numFmtId="0" fontId="30" fillId="0" borderId="0" xfId="0" applyFont="1" applyAlignment="1">
      <alignment wrapText="1"/>
    </xf>
    <xf numFmtId="0" fontId="30" fillId="0" borderId="0" xfId="0" applyFont="1" applyBorder="1"/>
    <xf numFmtId="0" fontId="34" fillId="0" borderId="0" xfId="0" applyFont="1"/>
    <xf numFmtId="0" fontId="23" fillId="0" borderId="0" xfId="0" applyFont="1" applyAlignment="1">
      <alignment horizontal="left"/>
    </xf>
    <xf numFmtId="0" fontId="35" fillId="0" borderId="0" xfId="0" applyFont="1" applyAlignment="1">
      <alignment horizontal="center"/>
    </xf>
    <xf numFmtId="0" fontId="34" fillId="0" borderId="0" xfId="0" applyFont="1" applyAlignment="1">
      <alignment horizontal="center"/>
    </xf>
    <xf numFmtId="0" fontId="35" fillId="0" borderId="0" xfId="0" applyFont="1"/>
    <xf numFmtId="0" fontId="35" fillId="0" borderId="0" xfId="0" applyFont="1" applyFill="1" applyAlignment="1">
      <alignment horizontal="center"/>
    </xf>
    <xf numFmtId="167" fontId="0" fillId="0" borderId="0" xfId="0" applyNumberFormat="1" applyFill="1"/>
    <xf numFmtId="0" fontId="36" fillId="0" borderId="0" xfId="0" applyFont="1"/>
    <xf numFmtId="0" fontId="0" fillId="0" borderId="0" xfId="0" applyAlignment="1">
      <alignment horizontal="left" indent="2"/>
    </xf>
    <xf numFmtId="0" fontId="0" fillId="0" borderId="2" xfId="0" applyFill="1" applyBorder="1" applyAlignment="1">
      <alignment horizontal="center" wrapText="1"/>
    </xf>
    <xf numFmtId="166" fontId="0" fillId="0" borderId="2" xfId="1150" applyFont="1" applyBorder="1" applyAlignment="1">
      <alignment horizontal="center"/>
    </xf>
    <xf numFmtId="167" fontId="0" fillId="0" borderId="0" xfId="0" applyNumberFormat="1" applyFill="1" applyBorder="1" applyAlignment="1">
      <alignment horizontal="center" wrapText="1"/>
    </xf>
    <xf numFmtId="0" fontId="0" fillId="0" borderId="0" xfId="0" applyAlignment="1">
      <alignment vertical="top" wrapText="1"/>
    </xf>
    <xf numFmtId="3" fontId="0" fillId="0" borderId="0" xfId="0" applyNumberFormat="1" applyAlignment="1">
      <alignment horizontal="center"/>
    </xf>
    <xf numFmtId="3" fontId="0"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37" fillId="0" borderId="0" xfId="0" applyFont="1" applyAlignment="1">
      <alignment horizontal="center" vertical="center" wrapText="1"/>
    </xf>
    <xf numFmtId="168" fontId="0" fillId="0" borderId="0" xfId="1148" applyNumberFormat="1" applyFont="1"/>
    <xf numFmtId="168" fontId="0" fillId="0" borderId="0" xfId="1148" applyNumberFormat="1" applyFont="1" applyAlignment="1">
      <alignment horizontal="center"/>
    </xf>
    <xf numFmtId="174" fontId="0" fillId="0" borderId="0" xfId="1149" applyNumberFormat="1" applyFont="1" applyAlignment="1"/>
    <xf numFmtId="0" fontId="0" fillId="0" borderId="0" xfId="0" applyBorder="1" applyAlignment="1">
      <alignment horizontal="left" vertical="top" wrapText="1"/>
    </xf>
    <xf numFmtId="0" fontId="0" fillId="0" borderId="0" xfId="0" applyAlignment="1">
      <alignment wrapText="1"/>
    </xf>
    <xf numFmtId="0" fontId="0" fillId="0" borderId="0" xfId="0"/>
    <xf numFmtId="0" fontId="0" fillId="0" borderId="0" xfId="0" applyAlignment="1">
      <alignment horizontal="center" wrapText="1"/>
    </xf>
    <xf numFmtId="0" fontId="0" fillId="0" borderId="0" xfId="0" applyAlignment="1">
      <alignment wrapText="1"/>
    </xf>
    <xf numFmtId="0" fontId="0" fillId="0" borderId="0" xfId="0"/>
    <xf numFmtId="0" fontId="0" fillId="0" borderId="0" xfId="0" applyAlignment="1">
      <alignment horizontal="center" wrapText="1"/>
    </xf>
    <xf numFmtId="0" fontId="0" fillId="0" borderId="0" xfId="0"/>
    <xf numFmtId="0" fontId="0" fillId="0" borderId="0" xfId="0" applyBorder="1" applyAlignment="1">
      <alignment horizontal="center" wrapText="1"/>
    </xf>
    <xf numFmtId="0" fontId="0" fillId="0" borderId="0" xfId="0" applyBorder="1" applyAlignment="1">
      <alignment wrapText="1"/>
    </xf>
    <xf numFmtId="174" fontId="27" fillId="0" borderId="0" xfId="1149" applyNumberFormat="1" applyFont="1" applyBorder="1" applyAlignment="1">
      <alignment horizontal="center" wrapText="1"/>
    </xf>
    <xf numFmtId="174" fontId="0" fillId="0" borderId="0" xfId="0" applyNumberFormat="1" applyAlignment="1">
      <alignment wrapText="1"/>
    </xf>
    <xf numFmtId="165" fontId="27" fillId="0" borderId="0" xfId="1149" applyFont="1" applyBorder="1" applyAlignment="1">
      <alignment horizontal="center" wrapText="1"/>
    </xf>
    <xf numFmtId="168" fontId="0" fillId="0" borderId="0" xfId="0" applyNumberFormat="1" applyBorder="1" applyAlignment="1">
      <alignment horizontal="right"/>
    </xf>
    <xf numFmtId="0" fontId="0" fillId="0" borderId="0" xfId="0" applyAlignment="1">
      <alignment wrapText="1"/>
    </xf>
    <xf numFmtId="0" fontId="0" fillId="0" borderId="0" xfId="0" applyAlignment="1"/>
    <xf numFmtId="0" fontId="0" fillId="0" borderId="0" xfId="0"/>
    <xf numFmtId="0" fontId="0" fillId="0" borderId="0" xfId="0"/>
    <xf numFmtId="174" fontId="0" fillId="0" borderId="0" xfId="1149" applyNumberFormat="1" applyFont="1" applyFill="1" applyBorder="1"/>
    <xf numFmtId="174" fontId="0" fillId="0" borderId="0" xfId="1149" applyNumberFormat="1" applyFont="1" applyFill="1" applyBorder="1" applyAlignment="1"/>
    <xf numFmtId="0" fontId="0" fillId="0" borderId="0" xfId="0"/>
    <xf numFmtId="0" fontId="0" fillId="0" borderId="0" xfId="0"/>
    <xf numFmtId="0" fontId="0" fillId="0" borderId="0" xfId="0" applyAlignment="1">
      <alignment horizontal="center"/>
    </xf>
    <xf numFmtId="0" fontId="0" fillId="0" borderId="0" xfId="0" applyBorder="1" applyAlignment="1">
      <alignment vertical="top" wrapText="1"/>
    </xf>
    <xf numFmtId="0" fontId="0" fillId="0" borderId="0" xfId="0" applyAlignment="1">
      <alignment horizontal="center"/>
    </xf>
    <xf numFmtId="167" fontId="0" fillId="0" borderId="2" xfId="0" applyNumberFormat="1" applyBorder="1" applyAlignment="1">
      <alignment horizontal="center" wrapText="1"/>
    </xf>
    <xf numFmtId="0" fontId="0" fillId="0" borderId="0" xfId="0" applyAlignment="1">
      <alignment wrapText="1"/>
    </xf>
    <xf numFmtId="0" fontId="0" fillId="0" borderId="0" xfId="0" applyBorder="1" applyAlignment="1">
      <alignment wrapText="1"/>
    </xf>
    <xf numFmtId="0" fontId="0" fillId="0" borderId="0" xfId="0" applyAlignment="1">
      <alignment vertical="top" wrapText="1"/>
    </xf>
    <xf numFmtId="0" fontId="0" fillId="0" borderId="0" xfId="0"/>
    <xf numFmtId="0" fontId="0" fillId="0" borderId="0" xfId="0" applyAlignment="1">
      <alignment vertical="top" wrapText="1"/>
    </xf>
    <xf numFmtId="0" fontId="0" fillId="0" borderId="0" xfId="0"/>
    <xf numFmtId="0" fontId="0" fillId="0" borderId="0" xfId="0" applyFont="1" applyBorder="1" applyAlignment="1">
      <alignment wrapText="1"/>
    </xf>
    <xf numFmtId="0" fontId="39" fillId="0" borderId="0" xfId="0" applyFont="1" applyAlignment="1">
      <alignment vertical="center"/>
    </xf>
    <xf numFmtId="0" fontId="22" fillId="0" borderId="0" xfId="0" applyFont="1" applyBorder="1" applyAlignment="1">
      <alignment wrapText="1"/>
    </xf>
    <xf numFmtId="0" fontId="0" fillId="0" borderId="0" xfId="0" applyFill="1" applyBorder="1" applyAlignment="1">
      <alignment vertical="top" wrapText="1"/>
    </xf>
    <xf numFmtId="0" fontId="0" fillId="0" borderId="0" xfId="0" applyAlignment="1">
      <alignment wrapText="1"/>
    </xf>
    <xf numFmtId="0" fontId="0" fillId="0" borderId="0" xfId="0"/>
    <xf numFmtId="0" fontId="0" fillId="0" borderId="0" xfId="0" applyBorder="1" applyAlignment="1">
      <alignment horizontal="left" vertical="top" wrapText="1"/>
    </xf>
    <xf numFmtId="174" fontId="0" fillId="0" borderId="0" xfId="1149" applyNumberFormat="1" applyFont="1" applyBorder="1" applyAlignment="1">
      <alignment horizontal="center" wrapText="1"/>
    </xf>
    <xf numFmtId="174" fontId="38" fillId="0" borderId="0" xfId="1149" applyNumberFormat="1" applyFont="1" applyBorder="1" applyAlignment="1">
      <alignment horizontal="center" wrapText="1"/>
    </xf>
    <xf numFmtId="174" fontId="38" fillId="0" borderId="0" xfId="1149" applyNumberFormat="1" applyFont="1" applyFill="1" applyBorder="1" applyAlignment="1">
      <alignment horizontal="center" wrapText="1"/>
    </xf>
    <xf numFmtId="0" fontId="0" fillId="0" borderId="0" xfId="0" applyAlignment="1">
      <alignment horizontal="center" wrapText="1"/>
    </xf>
    <xf numFmtId="0" fontId="0" fillId="0" borderId="0" xfId="0" applyAlignment="1">
      <alignment horizontal="left"/>
    </xf>
    <xf numFmtId="0" fontId="0" fillId="0" borderId="0" xfId="0" applyAlignment="1">
      <alignment horizontal="left" wrapText="1"/>
    </xf>
    <xf numFmtId="0" fontId="0" fillId="0" borderId="0" xfId="0" applyAlignment="1"/>
    <xf numFmtId="0" fontId="23" fillId="0" borderId="0" xfId="0" applyFont="1" applyAlignment="1">
      <alignment horizontal="left" wrapText="1"/>
    </xf>
    <xf numFmtId="0" fontId="0" fillId="0" borderId="0" xfId="0"/>
    <xf numFmtId="0" fontId="0" fillId="0" borderId="0" xfId="0" applyBorder="1" applyAlignment="1">
      <alignment horizontal="center"/>
    </xf>
    <xf numFmtId="0" fontId="0" fillId="0" borderId="0" xfId="0" applyAlignment="1">
      <alignment horizontal="center"/>
    </xf>
    <xf numFmtId="0" fontId="0" fillId="0" borderId="0" xfId="0" applyAlignment="1">
      <alignment wrapText="1"/>
    </xf>
    <xf numFmtId="0" fontId="0" fillId="0" borderId="0" xfId="0" applyBorder="1" applyAlignment="1">
      <alignment horizontal="center" wrapText="1"/>
    </xf>
    <xf numFmtId="0" fontId="0" fillId="0" borderId="0" xfId="0"/>
    <xf numFmtId="174" fontId="0" fillId="0" borderId="0" xfId="1149" applyNumberFormat="1" applyFont="1" applyAlignment="1">
      <alignment vertical="center"/>
    </xf>
    <xf numFmtId="0" fontId="0" fillId="0" borderId="0" xfId="0" applyFont="1" applyAlignment="1">
      <alignment horizontal="center"/>
    </xf>
    <xf numFmtId="0" fontId="8" fillId="0" borderId="0" xfId="350" applyAlignment="1"/>
    <xf numFmtId="0" fontId="8" fillId="0" borderId="0" xfId="350" applyAlignment="1">
      <alignment horizontal="left"/>
    </xf>
    <xf numFmtId="178" fontId="0" fillId="0" borderId="0" xfId="0" applyNumberFormat="1" applyFill="1" applyAlignment="1">
      <alignment horizontal="center"/>
    </xf>
    <xf numFmtId="181" fontId="0" fillId="0" borderId="0" xfId="1150" applyNumberFormat="1" applyFont="1" applyFill="1" applyAlignment="1"/>
    <xf numFmtId="181" fontId="0" fillId="0" borderId="0" xfId="1150" applyNumberFormat="1" applyFont="1" applyAlignment="1"/>
    <xf numFmtId="174" fontId="0" fillId="0" borderId="0" xfId="0" applyNumberFormat="1" applyFill="1"/>
    <xf numFmtId="174" fontId="0" fillId="0" borderId="2" xfId="1149" applyNumberFormat="1" applyFont="1" applyBorder="1" applyAlignment="1">
      <alignment horizontal="center" vertical="center"/>
    </xf>
    <xf numFmtId="0" fontId="22" fillId="0" borderId="0" xfId="0" applyFont="1" applyAlignment="1"/>
    <xf numFmtId="0" fontId="8" fillId="0" borderId="0" xfId="350" quotePrefix="1" applyAlignment="1">
      <alignment horizontal="left" wrapText="1"/>
    </xf>
    <xf numFmtId="0" fontId="8" fillId="0" borderId="0" xfId="350" applyAlignment="1">
      <alignment horizontal="center"/>
    </xf>
    <xf numFmtId="0" fontId="25" fillId="0" borderId="0" xfId="0" applyFont="1" applyAlignment="1">
      <alignment horizontal="left"/>
    </xf>
    <xf numFmtId="0" fontId="12" fillId="0" borderId="0" xfId="0" applyFont="1" applyAlignment="1">
      <alignment horizontal="left" indent="1"/>
    </xf>
    <xf numFmtId="0" fontId="0" fillId="0" borderId="0" xfId="0" applyFont="1" applyAlignment="1"/>
    <xf numFmtId="0" fontId="12" fillId="0" borderId="0" xfId="0" applyFont="1" applyAlignment="1"/>
    <xf numFmtId="172" fontId="0" fillId="0" borderId="0" xfId="0" applyNumberFormat="1" applyBorder="1"/>
    <xf numFmtId="0" fontId="8" fillId="0" borderId="0" xfId="350" applyBorder="1"/>
    <xf numFmtId="0" fontId="0" fillId="0" borderId="0" xfId="0" applyBorder="1" applyAlignment="1">
      <alignment vertical="center"/>
    </xf>
    <xf numFmtId="0" fontId="22" fillId="0" borderId="0" xfId="0" applyFont="1" applyBorder="1" applyAlignment="1">
      <alignment horizontal="center" vertical="center" wrapText="1"/>
    </xf>
    <xf numFmtId="0" fontId="0" fillId="0" borderId="0" xfId="0" applyFont="1" applyBorder="1"/>
    <xf numFmtId="0" fontId="38" fillId="0" borderId="0" xfId="0" applyFont="1" applyFill="1" applyBorder="1"/>
    <xf numFmtId="173" fontId="38" fillId="0" borderId="0" xfId="0" applyNumberFormat="1" applyFont="1" applyFill="1" applyBorder="1"/>
    <xf numFmtId="174" fontId="38" fillId="0" borderId="0" xfId="0" applyNumberFormat="1" applyFont="1" applyFill="1" applyBorder="1"/>
    <xf numFmtId="0" fontId="38" fillId="0" borderId="0" xfId="0" applyFont="1" applyFill="1"/>
    <xf numFmtId="0" fontId="45" fillId="0" borderId="0" xfId="0" applyFont="1" applyFill="1" applyBorder="1"/>
    <xf numFmtId="0" fontId="46" fillId="0" borderId="0" xfId="0" applyFont="1" applyFill="1" applyBorder="1" applyAlignment="1">
      <alignment horizontal="center"/>
    </xf>
    <xf numFmtId="172" fontId="0" fillId="0" borderId="3" xfId="0" applyNumberFormat="1" applyBorder="1"/>
    <xf numFmtId="0" fontId="22" fillId="0" borderId="0" xfId="0" applyFont="1" applyBorder="1" applyAlignment="1">
      <alignment vertical="center"/>
    </xf>
    <xf numFmtId="173" fontId="38" fillId="0" borderId="0" xfId="1150" applyNumberFormat="1" applyFont="1" applyFill="1" applyBorder="1"/>
    <xf numFmtId="0" fontId="0" fillId="0" borderId="3" xfId="0" applyFill="1" applyBorder="1"/>
    <xf numFmtId="0" fontId="8" fillId="0" borderId="0" xfId="350" applyBorder="1" applyAlignment="1">
      <alignment horizontal="center" vertical="center" wrapText="1"/>
    </xf>
    <xf numFmtId="174" fontId="38" fillId="0" borderId="0" xfId="1149" applyNumberFormat="1" applyFont="1" applyFill="1" applyBorder="1"/>
    <xf numFmtId="173" fontId="0" fillId="0" borderId="0" xfId="1150" applyNumberFormat="1" applyFont="1" applyFill="1" applyBorder="1"/>
    <xf numFmtId="0" fontId="0" fillId="0" borderId="0" xfId="0" applyAlignment="1">
      <alignment wrapText="1"/>
    </xf>
    <xf numFmtId="0" fontId="0" fillId="0" borderId="0" xfId="0" applyBorder="1" applyAlignment="1">
      <alignment wrapText="1"/>
    </xf>
    <xf numFmtId="0" fontId="8" fillId="0" borderId="0" xfId="350" applyAlignment="1">
      <alignment wrapText="1"/>
    </xf>
    <xf numFmtId="0" fontId="0" fillId="0" borderId="0" xfId="0" applyAlignment="1">
      <alignment horizontal="left" wrapText="1" indent="1"/>
    </xf>
    <xf numFmtId="0" fontId="0" fillId="0" borderId="0" xfId="0"/>
    <xf numFmtId="0" fontId="0" fillId="0" borderId="0" xfId="0" applyAlignment="1">
      <alignment horizontal="center"/>
    </xf>
    <xf numFmtId="0" fontId="12" fillId="0" borderId="0" xfId="0" quotePrefix="1" applyFont="1" applyAlignment="1">
      <alignment wrapText="1"/>
    </xf>
    <xf numFmtId="0" fontId="0" fillId="0" borderId="3" xfId="0" applyBorder="1" applyAlignment="1">
      <alignment wrapText="1"/>
    </xf>
    <xf numFmtId="174" fontId="0" fillId="0" borderId="3" xfId="1149" applyNumberFormat="1" applyFont="1" applyBorder="1" applyAlignment="1">
      <alignment wrapText="1"/>
    </xf>
    <xf numFmtId="168" fontId="0" fillId="0" borderId="3" xfId="0" applyNumberFormat="1" applyBorder="1" applyAlignment="1">
      <alignment wrapText="1"/>
    </xf>
    <xf numFmtId="3" fontId="0" fillId="0" borderId="0" xfId="0" applyNumberFormat="1" applyFill="1" applyBorder="1"/>
    <xf numFmtId="9" fontId="38" fillId="0" borderId="0" xfId="0" applyNumberFormat="1" applyFont="1" applyFill="1" applyBorder="1"/>
    <xf numFmtId="173" fontId="0" fillId="0" borderId="0" xfId="1150" applyNumberFormat="1" applyFont="1"/>
    <xf numFmtId="167" fontId="0" fillId="0" borderId="2" xfId="0" applyNumberFormat="1" applyFill="1" applyBorder="1" applyAlignment="1">
      <alignment horizontal="center" wrapText="1"/>
    </xf>
    <xf numFmtId="3" fontId="14" fillId="0" borderId="0" xfId="0" applyNumberFormat="1" applyFont="1" applyFill="1"/>
    <xf numFmtId="168" fontId="14" fillId="0" borderId="0" xfId="0" applyNumberFormat="1" applyFont="1" applyFill="1" applyAlignment="1">
      <alignment horizontal="center"/>
    </xf>
    <xf numFmtId="168" fontId="14" fillId="0" borderId="0" xfId="0" applyNumberFormat="1" applyFont="1" applyFill="1"/>
    <xf numFmtId="0" fontId="8" fillId="0" borderId="0" xfId="350" applyFill="1"/>
    <xf numFmtId="3" fontId="13" fillId="0" borderId="0" xfId="0" applyNumberFormat="1" applyFont="1" applyFill="1" applyAlignment="1">
      <alignment horizontal="right" vertical="center"/>
    </xf>
    <xf numFmtId="179" fontId="0" fillId="0" borderId="0" xfId="0" applyNumberFormat="1" applyFill="1"/>
    <xf numFmtId="170" fontId="0" fillId="0" borderId="0" xfId="0" applyNumberFormat="1" applyFill="1"/>
    <xf numFmtId="168" fontId="0" fillId="0" borderId="0" xfId="0" applyNumberFormat="1" applyFill="1"/>
    <xf numFmtId="0" fontId="0" fillId="0" borderId="0" xfId="0"/>
    <xf numFmtId="0" fontId="0" fillId="0" borderId="0" xfId="0" applyAlignment="1">
      <alignment horizontal="center"/>
    </xf>
    <xf numFmtId="174" fontId="27" fillId="0" borderId="0" xfId="1149" applyNumberFormat="1" applyFont="1" applyFill="1" applyBorder="1" applyAlignment="1">
      <alignment horizontal="center" wrapText="1"/>
    </xf>
    <xf numFmtId="165" fontId="27" fillId="0" borderId="0" xfId="1149" applyFont="1" applyFill="1" applyBorder="1" applyAlignment="1">
      <alignment wrapText="1"/>
    </xf>
    <xf numFmtId="174" fontId="27" fillId="0" borderId="0" xfId="1149" applyNumberFormat="1" applyFont="1" applyFill="1" applyBorder="1" applyAlignment="1">
      <alignment wrapText="1"/>
    </xf>
    <xf numFmtId="165" fontId="10" fillId="0" borderId="0" xfId="1149" applyFont="1"/>
    <xf numFmtId="174" fontId="0" fillId="0" borderId="2" xfId="1149" applyNumberFormat="1" applyFont="1" applyFill="1" applyBorder="1" applyAlignment="1">
      <alignment horizontal="center"/>
    </xf>
    <xf numFmtId="174" fontId="0" fillId="0" borderId="0" xfId="1149" applyNumberFormat="1" applyFont="1" applyFill="1" applyBorder="1" applyAlignment="1">
      <alignment horizontal="center"/>
    </xf>
    <xf numFmtId="9" fontId="27" fillId="0" borderId="0" xfId="0" applyNumberFormat="1" applyFont="1"/>
    <xf numFmtId="0" fontId="0" fillId="0" borderId="0" xfId="0" applyAlignment="1">
      <alignment horizontal="center" wrapText="1"/>
    </xf>
    <xf numFmtId="0" fontId="0" fillId="0" borderId="0" xfId="0" applyAlignment="1">
      <alignment wrapText="1"/>
    </xf>
    <xf numFmtId="0" fontId="8" fillId="0" borderId="0" xfId="350" applyAlignment="1">
      <alignment wrapText="1"/>
    </xf>
    <xf numFmtId="0" fontId="0" fillId="0" borderId="0" xfId="0"/>
    <xf numFmtId="0" fontId="47" fillId="0" borderId="0" xfId="0" applyFont="1" applyAlignment="1">
      <alignment horizontal="center"/>
    </xf>
    <xf numFmtId="0" fontId="0" fillId="0" borderId="0" xfId="0"/>
    <xf numFmtId="183" fontId="0" fillId="0" borderId="0" xfId="0" applyNumberFormat="1"/>
    <xf numFmtId="9" fontId="27" fillId="2" borderId="0" xfId="0" applyNumberFormat="1" applyFont="1" applyFill="1"/>
    <xf numFmtId="0" fontId="21" fillId="0" borderId="0" xfId="0" applyFont="1" applyAlignment="1">
      <alignment wrapText="1"/>
    </xf>
    <xf numFmtId="174" fontId="10" fillId="0" borderId="0" xfId="1149" applyNumberFormat="1" applyFont="1" applyFill="1" applyBorder="1"/>
    <xf numFmtId="0" fontId="0" fillId="0" borderId="0" xfId="1150" applyNumberFormat="1" applyFont="1" applyFill="1" applyBorder="1" applyAlignment="1">
      <alignment horizontal="center"/>
    </xf>
    <xf numFmtId="184" fontId="0" fillId="0" borderId="0" xfId="1149" applyNumberFormat="1" applyFont="1"/>
    <xf numFmtId="182" fontId="4" fillId="0" borderId="0" xfId="1149" applyNumberFormat="1" applyFont="1" applyFill="1"/>
    <xf numFmtId="182" fontId="0" fillId="0" borderId="0" xfId="1149" applyNumberFormat="1" applyFont="1" applyFill="1"/>
    <xf numFmtId="165" fontId="12" fillId="0" borderId="0" xfId="1149" applyFont="1"/>
    <xf numFmtId="0" fontId="0" fillId="0" borderId="0" xfId="0" applyFill="1" applyAlignment="1">
      <alignment horizontal="center"/>
    </xf>
    <xf numFmtId="178" fontId="0" fillId="0" borderId="0" xfId="0" applyNumberFormat="1" applyFill="1"/>
    <xf numFmtId="165" fontId="0" fillId="0" borderId="0" xfId="1149" applyFont="1" applyFill="1"/>
    <xf numFmtId="174" fontId="0" fillId="0" borderId="0" xfId="1149" applyNumberFormat="1" applyFont="1" applyFill="1" applyAlignment="1">
      <alignment horizontal="center"/>
    </xf>
    <xf numFmtId="9" fontId="0" fillId="0" borderId="0" xfId="0" applyNumberFormat="1" applyFill="1" applyAlignment="1">
      <alignment horizontal="center"/>
    </xf>
    <xf numFmtId="168" fontId="0" fillId="0" borderId="0" xfId="1148" applyNumberFormat="1" applyFont="1" applyFill="1" applyAlignment="1">
      <alignment horizontal="center"/>
    </xf>
    <xf numFmtId="0" fontId="0" fillId="0" borderId="0" xfId="0"/>
    <xf numFmtId="9" fontId="0" fillId="0" borderId="0" xfId="1148" applyFont="1" applyFill="1" applyAlignment="1">
      <alignment horizontal="center"/>
    </xf>
    <xf numFmtId="165" fontId="0" fillId="0" borderId="0" xfId="1149" applyNumberFormat="1" applyFont="1" applyAlignment="1">
      <alignment horizontal="center"/>
    </xf>
    <xf numFmtId="165" fontId="0" fillId="0" borderId="0" xfId="1149" applyNumberFormat="1" applyFont="1" applyFill="1"/>
    <xf numFmtId="165" fontId="0" fillId="0" borderId="2" xfId="1149" applyNumberFormat="1" applyFont="1" applyBorder="1" applyAlignment="1">
      <alignment horizontal="center"/>
    </xf>
    <xf numFmtId="165" fontId="0" fillId="0" borderId="2" xfId="1149" applyNumberFormat="1" applyFont="1" applyFill="1" applyBorder="1" applyAlignment="1">
      <alignment horizontal="center"/>
    </xf>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Fill="1" applyAlignment="1">
      <alignment horizontal="left" vertical="top" wrapText="1"/>
    </xf>
    <xf numFmtId="0" fontId="0" fillId="0" borderId="0" xfId="0"/>
    <xf numFmtId="0" fontId="0" fillId="0" borderId="0" xfId="0" applyAlignment="1">
      <alignment horizontal="center"/>
    </xf>
    <xf numFmtId="9" fontId="0" fillId="0" borderId="0" xfId="1148" applyNumberFormat="1" applyFont="1"/>
    <xf numFmtId="174" fontId="0" fillId="0" borderId="0" xfId="0" applyNumberFormat="1" applyFont="1" applyAlignment="1">
      <alignment horizontal="center"/>
    </xf>
    <xf numFmtId="174" fontId="12" fillId="0" borderId="0" xfId="0" applyNumberFormat="1" applyFont="1"/>
    <xf numFmtId="0" fontId="0" fillId="0" borderId="0" xfId="0" applyBorder="1" applyAlignment="1"/>
    <xf numFmtId="0" fontId="49" fillId="0" borderId="0" xfId="0" applyFont="1"/>
    <xf numFmtId="165" fontId="50" fillId="0" borderId="0" xfId="1149" applyFont="1"/>
    <xf numFmtId="0" fontId="42" fillId="0" borderId="0" xfId="0" applyFont="1"/>
    <xf numFmtId="0" fontId="52" fillId="0" borderId="0" xfId="0" applyFont="1" applyBorder="1"/>
    <xf numFmtId="0" fontId="52" fillId="0" borderId="0" xfId="0" applyFont="1" applyBorder="1" applyAlignment="1">
      <alignment horizontal="center"/>
    </xf>
    <xf numFmtId="0" fontId="42" fillId="0" borderId="0" xfId="0" applyFont="1" applyBorder="1"/>
    <xf numFmtId="0" fontId="0" fillId="0" borderId="0" xfId="0" applyFill="1" applyBorder="1" applyAlignment="1">
      <alignment horizontal="left" indent="1"/>
    </xf>
    <xf numFmtId="2" fontId="0" fillId="0" borderId="0" xfId="0" applyNumberFormat="1" applyFont="1" applyAlignment="1">
      <alignment horizontal="center"/>
    </xf>
    <xf numFmtId="0" fontId="0" fillId="0" borderId="0" xfId="0" applyBorder="1" applyAlignment="1">
      <alignment horizontal="left" indent="1"/>
    </xf>
    <xf numFmtId="0" fontId="23" fillId="0" borderId="0" xfId="0" applyFont="1" applyFill="1" applyBorder="1"/>
    <xf numFmtId="0" fontId="3" fillId="0" borderId="0" xfId="0" applyFont="1" applyFill="1" applyBorder="1"/>
    <xf numFmtId="0" fontId="54" fillId="0" borderId="0" xfId="0" applyFont="1"/>
    <xf numFmtId="165" fontId="53" fillId="0" borderId="0" xfId="1149" applyFont="1"/>
    <xf numFmtId="0" fontId="52" fillId="0" borderId="0" xfId="0" applyFont="1"/>
    <xf numFmtId="165" fontId="53" fillId="0" borderId="0" xfId="1149" applyFont="1" applyBorder="1" applyAlignment="1">
      <alignment horizontal="center"/>
    </xf>
    <xf numFmtId="166" fontId="53" fillId="0" borderId="0" xfId="1150" applyFont="1" applyBorder="1" applyAlignment="1">
      <alignment horizontal="center"/>
    </xf>
    <xf numFmtId="166" fontId="53" fillId="0" borderId="0" xfId="1150" applyFont="1" applyAlignment="1">
      <alignment horizontal="center"/>
    </xf>
    <xf numFmtId="0" fontId="42" fillId="0" borderId="0" xfId="0" applyFont="1" applyAlignment="1">
      <alignment horizontal="left" indent="1"/>
    </xf>
    <xf numFmtId="0" fontId="42" fillId="0" borderId="0" xfId="0" applyFont="1" applyBorder="1" applyAlignment="1">
      <alignment horizontal="left" indent="1"/>
    </xf>
    <xf numFmtId="173" fontId="53" fillId="0" borderId="0" xfId="1150" applyNumberFormat="1" applyFont="1" applyAlignment="1">
      <alignment horizontal="center"/>
    </xf>
    <xf numFmtId="0" fontId="0" fillId="0" borderId="8" xfId="0" applyBorder="1" applyAlignment="1">
      <alignment horizontal="center" wrapText="1"/>
    </xf>
    <xf numFmtId="0" fontId="0" fillId="0" borderId="2" xfId="0" applyBorder="1" applyAlignment="1">
      <alignment wrapText="1"/>
    </xf>
    <xf numFmtId="0" fontId="0" fillId="0" borderId="8" xfId="0" applyFont="1" applyBorder="1" applyAlignment="1">
      <alignment horizontal="center" wrapText="1"/>
    </xf>
    <xf numFmtId="168" fontId="0" fillId="0" borderId="2" xfId="0" applyNumberFormat="1" applyBorder="1" applyAlignment="1">
      <alignment horizontal="center" wrapText="1"/>
    </xf>
    <xf numFmtId="0" fontId="0" fillId="0" borderId="8" xfId="0" applyBorder="1"/>
    <xf numFmtId="168" fontId="0" fillId="0" borderId="2" xfId="0" applyNumberFormat="1" applyBorder="1" applyAlignment="1">
      <alignment horizontal="center"/>
    </xf>
    <xf numFmtId="0" fontId="0" fillId="0" borderId="0" xfId="0" applyFont="1" applyAlignment="1">
      <alignment wrapText="1"/>
    </xf>
    <xf numFmtId="0" fontId="0" fillId="0" borderId="0" xfId="0" applyAlignment="1">
      <alignment horizontal="center" wrapText="1"/>
    </xf>
    <xf numFmtId="0" fontId="0" fillId="0" borderId="0" xfId="0" applyAlignment="1">
      <alignment horizontal="left"/>
    </xf>
    <xf numFmtId="2" fontId="8" fillId="0" borderId="0" xfId="350" applyNumberFormat="1" applyAlignment="1">
      <alignment horizontal="left" indent="1"/>
    </xf>
    <xf numFmtId="168" fontId="0" fillId="0" borderId="2" xfId="1148" applyNumberFormat="1" applyFont="1" applyBorder="1" applyAlignment="1">
      <alignment horizontal="center"/>
    </xf>
    <xf numFmtId="168" fontId="0" fillId="0" borderId="3" xfId="1148" applyNumberFormat="1" applyFont="1" applyBorder="1" applyAlignment="1">
      <alignment horizontal="center"/>
    </xf>
    <xf numFmtId="168" fontId="0" fillId="0" borderId="1" xfId="1148" applyNumberFormat="1" applyFont="1" applyBorder="1" applyAlignment="1">
      <alignment horizontal="center"/>
    </xf>
    <xf numFmtId="0" fontId="0" fillId="0" borderId="0" xfId="0" applyBorder="1" applyAlignment="1">
      <alignment wrapText="1"/>
    </xf>
    <xf numFmtId="168" fontId="0" fillId="0" borderId="9" xfId="1148" applyNumberFormat="1" applyFont="1" applyBorder="1" applyAlignment="1">
      <alignment horizontal="center"/>
    </xf>
    <xf numFmtId="168" fontId="0" fillId="0" borderId="10" xfId="1148" applyNumberFormat="1" applyFont="1" applyBorder="1" applyAlignment="1">
      <alignment horizontal="center"/>
    </xf>
    <xf numFmtId="189" fontId="38" fillId="0" borderId="0" xfId="0" applyNumberFormat="1" applyFont="1" applyFill="1"/>
    <xf numFmtId="165" fontId="0" fillId="0" borderId="0" xfId="0" applyNumberFormat="1" applyFont="1"/>
    <xf numFmtId="0" fontId="0" fillId="0" borderId="3" xfId="0" applyFont="1" applyBorder="1"/>
    <xf numFmtId="165" fontId="0" fillId="0" borderId="0" xfId="1149" applyFont="1" applyBorder="1"/>
    <xf numFmtId="0" fontId="0" fillId="0" borderId="0" xfId="0" applyFont="1" applyFill="1" applyAlignment="1">
      <alignment horizontal="center"/>
    </xf>
    <xf numFmtId="2" fontId="27" fillId="0" borderId="0" xfId="0" applyNumberFormat="1" applyFont="1" applyAlignment="1">
      <alignment horizontal="center"/>
    </xf>
    <xf numFmtId="166" fontId="0" fillId="0" borderId="0" xfId="1150" applyFont="1" applyBorder="1"/>
    <xf numFmtId="166" fontId="0" fillId="0" borderId="3" xfId="0" applyNumberFormat="1" applyFont="1" applyBorder="1"/>
    <xf numFmtId="0" fontId="0" fillId="0" borderId="2" xfId="0" applyFont="1" applyBorder="1" applyAlignment="1">
      <alignment horizontal="center"/>
    </xf>
    <xf numFmtId="187" fontId="0" fillId="0" borderId="2" xfId="1150" applyNumberFormat="1" applyFont="1" applyBorder="1" applyAlignment="1">
      <alignment horizontal="center"/>
    </xf>
    <xf numFmtId="187" fontId="0" fillId="0" borderId="0" xfId="1150" applyNumberFormat="1" applyFont="1" applyBorder="1" applyAlignment="1">
      <alignment horizontal="center"/>
    </xf>
    <xf numFmtId="188" fontId="55" fillId="0" borderId="2" xfId="1150" applyNumberFormat="1" applyFont="1" applyBorder="1"/>
    <xf numFmtId="188" fontId="55" fillId="0" borderId="0" xfId="1150" applyNumberFormat="1" applyFont="1"/>
    <xf numFmtId="0" fontId="0" fillId="0" borderId="2" xfId="0" applyFont="1" applyBorder="1"/>
    <xf numFmtId="187" fontId="0" fillId="0" borderId="0" xfId="1150" applyNumberFormat="1" applyFont="1" applyAlignment="1">
      <alignment horizontal="center"/>
    </xf>
    <xf numFmtId="0" fontId="0" fillId="0" borderId="3" xfId="0" applyFont="1" applyBorder="1" applyAlignment="1">
      <alignment horizontal="right"/>
    </xf>
    <xf numFmtId="187" fontId="0" fillId="0" borderId="1" xfId="0" applyNumberFormat="1" applyFont="1" applyBorder="1"/>
    <xf numFmtId="187" fontId="0" fillId="0" borderId="3" xfId="0" applyNumberFormat="1" applyFont="1" applyBorder="1"/>
    <xf numFmtId="165" fontId="0" fillId="0" borderId="3" xfId="1149" applyFont="1" applyBorder="1"/>
    <xf numFmtId="0" fontId="0" fillId="0" borderId="0" xfId="0" applyFont="1" applyAlignment="1">
      <alignment horizontal="right"/>
    </xf>
    <xf numFmtId="187" fontId="0" fillId="0" borderId="2" xfId="0" applyNumberFormat="1" applyFont="1" applyBorder="1"/>
    <xf numFmtId="187" fontId="0" fillId="0" borderId="0" xfId="0" applyNumberFormat="1" applyFont="1"/>
    <xf numFmtId="9" fontId="0" fillId="0" borderId="0" xfId="0" applyNumberFormat="1" applyFont="1"/>
    <xf numFmtId="166" fontId="0" fillId="0" borderId="0" xfId="1150" applyFont="1"/>
    <xf numFmtId="0" fontId="8" fillId="0" borderId="0" xfId="350" applyFill="1" applyAlignment="1">
      <alignment horizontal="center"/>
    </xf>
    <xf numFmtId="0" fontId="8" fillId="0" borderId="0" xfId="350" quotePrefix="1" applyAlignment="1">
      <alignment horizontal="center"/>
    </xf>
    <xf numFmtId="2" fontId="8" fillId="0" borderId="0" xfId="350" applyNumberFormat="1" applyAlignment="1">
      <alignment horizontal="center"/>
    </xf>
    <xf numFmtId="172" fontId="8" fillId="0" borderId="0" xfId="350" quotePrefix="1" applyNumberFormat="1" applyAlignment="1">
      <alignment horizontal="center"/>
    </xf>
    <xf numFmtId="0" fontId="23" fillId="0" borderId="0" xfId="0" applyFont="1" applyBorder="1" applyAlignment="1">
      <alignment wrapText="1"/>
    </xf>
    <xf numFmtId="0" fontId="25" fillId="0" borderId="0" xfId="0" applyFont="1" applyBorder="1"/>
    <xf numFmtId="0" fontId="0" fillId="0" borderId="0" xfId="0" applyBorder="1" applyAlignment="1">
      <alignment horizontal="left" wrapText="1" indent="1"/>
    </xf>
    <xf numFmtId="0" fontId="0" fillId="0" borderId="0" xfId="0" applyFont="1" applyBorder="1" applyAlignment="1">
      <alignment horizontal="left" wrapText="1" indent="2"/>
    </xf>
    <xf numFmtId="0" fontId="0" fillId="0" borderId="0" xfId="0" applyBorder="1" applyAlignment="1">
      <alignment horizontal="left" wrapText="1" indent="3"/>
    </xf>
    <xf numFmtId="0" fontId="8" fillId="0" borderId="0" xfId="350" applyBorder="1" applyAlignment="1">
      <alignment horizontal="left" indent="1"/>
    </xf>
    <xf numFmtId="0" fontId="12" fillId="0" borderId="0" xfId="0" applyFont="1" applyBorder="1" applyAlignment="1">
      <alignment horizontal="left" wrapText="1" indent="2"/>
    </xf>
    <xf numFmtId="0" fontId="0" fillId="0" borderId="0" xfId="0" applyBorder="1" applyAlignment="1">
      <alignment horizontal="left" wrapText="1" indent="2"/>
    </xf>
    <xf numFmtId="0" fontId="0" fillId="0" borderId="0" xfId="0" applyBorder="1" applyAlignment="1">
      <alignment horizontal="left" wrapText="1" indent="4"/>
    </xf>
    <xf numFmtId="0" fontId="22" fillId="0" borderId="0" xfId="0" applyFont="1" applyBorder="1" applyAlignment="1">
      <alignment horizontal="left" wrapText="1" indent="1"/>
    </xf>
    <xf numFmtId="0" fontId="0" fillId="0" borderId="0" xfId="0" applyBorder="1" applyAlignment="1">
      <alignment wrapText="1"/>
    </xf>
    <xf numFmtId="0" fontId="0" fillId="0" borderId="0" xfId="0" applyFont="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Border="1" applyAlignment="1">
      <alignment horizontal="left" wrapText="1"/>
    </xf>
    <xf numFmtId="0" fontId="0" fillId="0" borderId="0" xfId="0" applyBorder="1" applyAlignment="1">
      <alignment wrapText="1"/>
    </xf>
    <xf numFmtId="44" fontId="0" fillId="0" borderId="0" xfId="0" applyNumberFormat="1"/>
    <xf numFmtId="0" fontId="0" fillId="0" borderId="0" xfId="0" applyFont="1" applyBorder="1" applyAlignment="1">
      <alignment horizontal="center"/>
    </xf>
    <xf numFmtId="0" fontId="12" fillId="0" borderId="0" xfId="0" applyFont="1" applyFill="1" applyBorder="1" applyAlignment="1">
      <alignment horizontal="left"/>
    </xf>
    <xf numFmtId="167" fontId="0" fillId="0" borderId="0" xfId="0" applyNumberFormat="1" applyFont="1" applyBorder="1"/>
    <xf numFmtId="0" fontId="0" fillId="0" borderId="0" xfId="0" applyFont="1" applyBorder="1" applyAlignment="1">
      <alignment horizontal="left" wrapText="1" indent="3"/>
    </xf>
    <xf numFmtId="0" fontId="12" fillId="0" borderId="0" xfId="0" applyFont="1" applyBorder="1" applyAlignment="1">
      <alignment horizontal="left" indent="1"/>
    </xf>
    <xf numFmtId="174" fontId="0" fillId="0" borderId="0" xfId="1163" applyNumberFormat="1" applyFont="1" applyBorder="1" applyAlignment="1">
      <alignment horizontal="center" wrapText="1"/>
    </xf>
    <xf numFmtId="165" fontId="27" fillId="0" borderId="0" xfId="1163" applyFont="1" applyBorder="1" applyAlignment="1">
      <alignment wrapText="1"/>
    </xf>
    <xf numFmtId="174" fontId="38" fillId="0" borderId="0" xfId="1163" applyNumberFormat="1" applyFont="1" applyBorder="1" applyAlignment="1">
      <alignment horizontal="center" wrapText="1"/>
    </xf>
    <xf numFmtId="174" fontId="27" fillId="0" borderId="0" xfId="1163" applyNumberFormat="1" applyFont="1" applyBorder="1" applyAlignment="1">
      <alignment horizontal="center" wrapText="1"/>
    </xf>
    <xf numFmtId="174" fontId="38" fillId="0" borderId="0" xfId="1163" applyNumberFormat="1" applyFont="1" applyFill="1" applyBorder="1" applyAlignment="1">
      <alignment horizontal="center" wrapText="1"/>
    </xf>
    <xf numFmtId="174" fontId="27" fillId="0" borderId="0" xfId="1163" applyNumberFormat="1" applyFont="1" applyFill="1" applyBorder="1" applyAlignment="1">
      <alignment horizontal="center" wrapText="1"/>
    </xf>
    <xf numFmtId="0" fontId="56" fillId="0" borderId="0" xfId="1165" applyNumberFormat="1" applyFont="1" applyFill="1" applyBorder="1" applyAlignment="1">
      <alignment horizontal="center"/>
    </xf>
    <xf numFmtId="0" fontId="57" fillId="0" borderId="0" xfId="1164" applyFont="1" applyAlignment="1">
      <alignment horizontal="center"/>
    </xf>
    <xf numFmtId="173" fontId="56" fillId="0" borderId="0" xfId="1150" applyNumberFormat="1" applyFont="1" applyFill="1" applyBorder="1" applyAlignment="1">
      <alignment horizont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xf>
    <xf numFmtId="0" fontId="0" fillId="0" borderId="0" xfId="0" applyAlignment="1"/>
    <xf numFmtId="0" fontId="0" fillId="0" borderId="0" xfId="0" applyFont="1" applyAlignment="1">
      <alignment wrapText="1"/>
    </xf>
    <xf numFmtId="0" fontId="0" fillId="0" borderId="0" xfId="0" applyAlignment="1">
      <alignment vertical="top" wrapText="1"/>
    </xf>
    <xf numFmtId="0" fontId="0" fillId="0" borderId="0" xfId="0" applyBorder="1" applyAlignment="1">
      <alignment horizontal="left" vertical="top"/>
    </xf>
    <xf numFmtId="0" fontId="0" fillId="0" borderId="0" xfId="0" applyAlignment="1">
      <alignment horizontal="left" vertical="top"/>
    </xf>
    <xf numFmtId="0" fontId="0" fillId="0" borderId="0" xfId="0" applyAlignment="1">
      <alignment horizontal="center"/>
    </xf>
    <xf numFmtId="173" fontId="56" fillId="0" borderId="0" xfId="1150" applyNumberFormat="1" applyFont="1" applyFill="1" applyBorder="1" applyAlignment="1"/>
    <xf numFmtId="166" fontId="56" fillId="0" borderId="0" xfId="1150" applyFont="1" applyFill="1" applyBorder="1" applyAlignment="1"/>
    <xf numFmtId="0" fontId="33" fillId="0" borderId="0" xfId="0" applyFont="1"/>
    <xf numFmtId="174" fontId="0" fillId="0" borderId="3" xfId="1163" applyNumberFormat="1" applyFont="1" applyBorder="1" applyAlignment="1">
      <alignment wrapText="1"/>
    </xf>
    <xf numFmtId="0" fontId="1" fillId="0" borderId="4" xfId="1164" applyFont="1" applyBorder="1" applyAlignment="1">
      <alignment horizontal="left"/>
    </xf>
    <xf numFmtId="0" fontId="1" fillId="0" borderId="4" xfId="1164" applyFont="1" applyBorder="1" applyAlignment="1"/>
    <xf numFmtId="0" fontId="1" fillId="0" borderId="4" xfId="1164" applyFont="1" applyBorder="1" applyAlignment="1">
      <alignment horizontal="center" wrapText="1"/>
    </xf>
    <xf numFmtId="0" fontId="1" fillId="0" borderId="4" xfId="1164" applyFont="1" applyBorder="1" applyAlignment="1">
      <alignment horizontal="center"/>
    </xf>
    <xf numFmtId="0" fontId="1" fillId="0" borderId="0" xfId="1164" applyFont="1" applyAlignment="1"/>
    <xf numFmtId="0" fontId="1" fillId="0" borderId="0" xfId="1164" applyFont="1" applyAlignment="1">
      <alignment horizontal="left"/>
    </xf>
    <xf numFmtId="0" fontId="1" fillId="0" borderId="0" xfId="1164" applyFont="1" applyAlignment="1">
      <alignment horizontal="center"/>
    </xf>
    <xf numFmtId="0" fontId="58" fillId="0" borderId="0" xfId="1164" applyFont="1" applyAlignment="1">
      <alignment horizontal="left"/>
    </xf>
    <xf numFmtId="0" fontId="1" fillId="0" borderId="0" xfId="1164" applyFont="1"/>
    <xf numFmtId="0" fontId="58" fillId="0" borderId="0" xfId="1164" applyFont="1"/>
    <xf numFmtId="0" fontId="1" fillId="0" borderId="0" xfId="1165" applyNumberFormat="1" applyFont="1" applyBorder="1" applyAlignment="1">
      <alignment horizontal="center"/>
    </xf>
    <xf numFmtId="0" fontId="1" fillId="0" borderId="3" xfId="1164" applyFont="1" applyBorder="1" applyAlignment="1">
      <alignment horizontal="center"/>
    </xf>
    <xf numFmtId="0" fontId="1" fillId="0" borderId="3" xfId="1164" applyFont="1" applyBorder="1" applyAlignment="1">
      <alignment horizontal="left"/>
    </xf>
    <xf numFmtId="0" fontId="1" fillId="0" borderId="3" xfId="1164" applyFont="1" applyBorder="1"/>
    <xf numFmtId="3" fontId="1" fillId="0" borderId="0" xfId="1164" applyNumberFormat="1" applyFont="1" applyAlignment="1">
      <alignment horizontal="center"/>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Border="1" applyAlignment="1">
      <alignment horizontal="left" vertical="top" wrapText="1"/>
    </xf>
    <xf numFmtId="0" fontId="0" fillId="0" borderId="0" xfId="0" applyFont="1" applyAlignment="1">
      <alignment horizontal="center"/>
    </xf>
    <xf numFmtId="0" fontId="8" fillId="0" borderId="0" xfId="350" quotePrefix="1"/>
    <xf numFmtId="0" fontId="0" fillId="0" borderId="0" xfId="0" applyAlignment="1">
      <alignment horizontal="center" vertical="top" wrapText="1"/>
    </xf>
    <xf numFmtId="0" fontId="8" fillId="0" borderId="0" xfId="350" applyAlignment="1">
      <alignment horizontal="center" vertical="top"/>
    </xf>
    <xf numFmtId="0" fontId="22" fillId="0" borderId="0" xfId="0" applyFont="1" applyFill="1"/>
    <xf numFmtId="0" fontId="0" fillId="0" borderId="0" xfId="0" applyAlignment="1">
      <alignment horizontal="center" vertical="top"/>
    </xf>
    <xf numFmtId="0" fontId="0" fillId="0" borderId="0" xfId="0" applyFont="1" applyFill="1"/>
    <xf numFmtId="0" fontId="0" fillId="0" borderId="0" xfId="0" applyAlignment="1">
      <alignment horizontal="right"/>
    </xf>
    <xf numFmtId="0" fontId="8" fillId="0" borderId="0" xfId="350" applyAlignment="1">
      <alignment horizontal="center" vertical="top" wrapText="1"/>
    </xf>
    <xf numFmtId="0" fontId="22" fillId="0" borderId="0" xfId="0" applyFont="1" applyFill="1" applyAlignment="1">
      <alignment horizontal="center"/>
    </xf>
    <xf numFmtId="0" fontId="8" fillId="0" borderId="0" xfId="350" applyAlignment="1">
      <alignment horizontal="right"/>
    </xf>
    <xf numFmtId="174" fontId="0" fillId="0" borderId="0" xfId="1149" applyNumberFormat="1" applyFont="1" applyAlignment="1">
      <alignment wrapText="1"/>
    </xf>
    <xf numFmtId="165" fontId="50" fillId="0" borderId="0" xfId="1149" applyFont="1" applyAlignment="1"/>
    <xf numFmtId="185" fontId="50" fillId="0" borderId="0" xfId="0" applyNumberFormat="1" applyFont="1" applyAlignment="1"/>
    <xf numFmtId="0" fontId="49" fillId="0" borderId="0" xfId="0" applyFont="1" applyAlignment="1"/>
    <xf numFmtId="0" fontId="51" fillId="0" borderId="0" xfId="0" applyFont="1" applyAlignment="1"/>
    <xf numFmtId="186" fontId="50" fillId="0" borderId="0" xfId="0" applyNumberFormat="1" applyFont="1" applyAlignment="1"/>
    <xf numFmtId="173" fontId="50" fillId="0" borderId="0" xfId="1150" applyNumberFormat="1" applyFont="1" applyBorder="1" applyAlignment="1"/>
    <xf numFmtId="0" fontId="10" fillId="0" borderId="0" xfId="0" applyFont="1" applyFill="1" applyBorder="1" applyAlignment="1">
      <alignment wrapText="1"/>
    </xf>
    <xf numFmtId="0" fontId="0" fillId="0" borderId="0" xfId="0" applyFont="1" applyBorder="1" applyAlignment="1">
      <alignment horizontal="left" vertical="top" wrapText="1"/>
    </xf>
    <xf numFmtId="0" fontId="0" fillId="0" borderId="0" xfId="0" applyAlignment="1">
      <alignment wrapText="1"/>
    </xf>
    <xf numFmtId="165" fontId="0" fillId="0" borderId="0" xfId="1149" applyFont="1" applyBorder="1" applyAlignment="1">
      <alignment vertical="top"/>
    </xf>
    <xf numFmtId="0" fontId="0" fillId="0" borderId="0" xfId="0" applyAlignment="1">
      <alignment vertical="top"/>
    </xf>
    <xf numFmtId="0" fontId="0" fillId="0" borderId="0" xfId="0" applyFont="1" applyBorder="1" applyAlignment="1">
      <alignment vertical="top"/>
    </xf>
    <xf numFmtId="0" fontId="0" fillId="0" borderId="0" xfId="0" applyFont="1" applyFill="1" applyBorder="1" applyAlignment="1">
      <alignment horizontal="left" vertical="top"/>
    </xf>
    <xf numFmtId="0" fontId="12" fillId="0" borderId="0" xfId="0" applyFont="1" applyBorder="1" applyAlignment="1">
      <alignment vertical="top"/>
    </xf>
    <xf numFmtId="0" fontId="0" fillId="0" borderId="0" xfId="0" applyFill="1" applyBorder="1" applyAlignment="1"/>
    <xf numFmtId="185" fontId="27" fillId="0" borderId="0" xfId="0" applyNumberFormat="1" applyFont="1" applyAlignment="1"/>
    <xf numFmtId="0" fontId="59" fillId="0" borderId="0" xfId="0" applyFont="1" applyAlignment="1"/>
    <xf numFmtId="165" fontId="27" fillId="0" borderId="0" xfId="1149" applyFont="1" applyAlignment="1"/>
    <xf numFmtId="0" fontId="27" fillId="0" borderId="0" xfId="0" applyFont="1" applyAlignment="1">
      <alignment horizontal="center"/>
    </xf>
    <xf numFmtId="0" fontId="10" fillId="0" borderId="0" xfId="0" applyFont="1" applyAlignment="1">
      <alignment vertical="top" wrapText="1"/>
    </xf>
    <xf numFmtId="0" fontId="12" fillId="0" borderId="0" xfId="0" applyFont="1" applyFill="1" applyBorder="1" applyAlignment="1">
      <alignment vertical="top"/>
    </xf>
    <xf numFmtId="0" fontId="8" fillId="0" borderId="0" xfId="350" applyAlignment="1">
      <alignment vertical="top" wrapText="1"/>
    </xf>
    <xf numFmtId="0" fontId="0" fillId="0" borderId="0" xfId="0" applyFill="1" applyAlignment="1">
      <alignment vertical="top" wrapText="1"/>
    </xf>
    <xf numFmtId="0" fontId="0" fillId="0" borderId="0" xfId="0" applyAlignment="1">
      <alignment horizontal="left" vertical="top" indent="1"/>
    </xf>
    <xf numFmtId="0" fontId="0" fillId="0" borderId="0" xfId="0"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10" fillId="0" borderId="0" xfId="0" applyFont="1" applyAlignment="1">
      <alignment horizontal="center" wrapText="1"/>
    </xf>
    <xf numFmtId="0" fontId="0" fillId="0" borderId="0" xfId="0" applyBorder="1" applyAlignment="1">
      <alignment horizontal="center" wrapText="1"/>
    </xf>
    <xf numFmtId="0" fontId="0" fillId="0" borderId="0" xfId="0" applyAlignment="1">
      <alignment horizontal="center" vertical="center" wrapText="1"/>
    </xf>
    <xf numFmtId="0" fontId="0" fillId="0" borderId="0" xfId="0" applyBorder="1" applyAlignment="1">
      <alignment wrapText="1"/>
    </xf>
    <xf numFmtId="0" fontId="0" fillId="0" borderId="0" xfId="0" applyAlignment="1">
      <alignment horizontal="left" vertical="top" wrapText="1"/>
    </xf>
    <xf numFmtId="0" fontId="0" fillId="0" borderId="4" xfId="0" applyBorder="1" applyAlignment="1">
      <alignment horizontal="center" wrapText="1"/>
    </xf>
    <xf numFmtId="0" fontId="0" fillId="0" borderId="0" xfId="0" applyBorder="1" applyAlignment="1">
      <alignment horizontal="left" wrapText="1"/>
    </xf>
    <xf numFmtId="0" fontId="0" fillId="0" borderId="0" xfId="0" applyAlignment="1">
      <alignment horizontal="left"/>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6" xfId="0" applyFont="1" applyBorder="1" applyAlignment="1"/>
    <xf numFmtId="0" fontId="15" fillId="0" borderId="7" xfId="0" applyFont="1" applyBorder="1" applyAlignment="1"/>
    <xf numFmtId="0" fontId="0" fillId="0" borderId="0" xfId="0" applyBorder="1" applyAlignment="1">
      <alignment horizontal="center"/>
    </xf>
    <xf numFmtId="0" fontId="0" fillId="0" borderId="0" xfId="0" applyAlignment="1">
      <alignment horizontal="left" wrapText="1"/>
    </xf>
    <xf numFmtId="167" fontId="0" fillId="0" borderId="0" xfId="0" applyNumberForma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xf>
    <xf numFmtId="0" fontId="0" fillId="0" borderId="0" xfId="0" applyAlignment="1">
      <alignment horizontal="left" wrapText="1" indent="1"/>
    </xf>
    <xf numFmtId="0" fontId="0"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12" fillId="0" borderId="0" xfId="0" applyFont="1" applyAlignment="1">
      <alignment horizontal="left" wrapText="1"/>
    </xf>
    <xf numFmtId="0" fontId="8" fillId="0" borderId="0" xfId="350" applyAlignment="1">
      <alignment wrapText="1"/>
    </xf>
    <xf numFmtId="0" fontId="0" fillId="0" borderId="0" xfId="0" applyFont="1" applyAlignment="1">
      <alignment horizontal="left" vertical="top" wrapText="1"/>
    </xf>
    <xf numFmtId="0" fontId="0" fillId="0" borderId="0" xfId="0" applyFont="1" applyAlignment="1">
      <alignment wrapText="1"/>
    </xf>
    <xf numFmtId="0" fontId="0" fillId="0" borderId="0" xfId="0" applyAlignment="1">
      <alignment vertical="top" wrapText="1"/>
    </xf>
    <xf numFmtId="0" fontId="0" fillId="0" borderId="0" xfId="0" applyFont="1" applyFill="1" applyAlignment="1">
      <alignment vertical="top" wrapText="1"/>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0" fontId="29" fillId="0" borderId="0" xfId="0" applyFont="1" applyAlignment="1">
      <alignment horizontal="left" wrapText="1"/>
    </xf>
    <xf numFmtId="0" fontId="0" fillId="0" borderId="0" xfId="0" applyFont="1" applyBorder="1" applyAlignment="1">
      <alignment wrapText="1"/>
    </xf>
    <xf numFmtId="0" fontId="0" fillId="0" borderId="0" xfId="0" applyFont="1" applyBorder="1" applyAlignment="1">
      <alignment horizontal="center"/>
    </xf>
    <xf numFmtId="0" fontId="0" fillId="0" borderId="0" xfId="0" applyFont="1" applyAlignment="1">
      <alignment horizontal="center"/>
    </xf>
    <xf numFmtId="0" fontId="0"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2" fillId="0" borderId="0" xfId="0" applyFont="1" applyBorder="1" applyAlignment="1">
      <alignment horizontal="left" vertical="top" wrapText="1"/>
    </xf>
    <xf numFmtId="0" fontId="0" fillId="0" borderId="0" xfId="0" applyBorder="1" applyAlignment="1">
      <alignment vertical="top" wrapText="1"/>
    </xf>
    <xf numFmtId="0" fontId="10" fillId="0" borderId="0" xfId="0" applyFont="1" applyFill="1" applyBorder="1" applyAlignment="1">
      <alignment horizontal="left" vertical="top" wrapText="1"/>
    </xf>
    <xf numFmtId="0" fontId="8" fillId="0" borderId="0" xfId="350" applyAlignment="1">
      <alignment horizontal="left" wrapText="1"/>
    </xf>
    <xf numFmtId="0" fontId="0" fillId="0" borderId="0" xfId="0" applyAlignment="1">
      <alignment horizontal="center"/>
    </xf>
    <xf numFmtId="0" fontId="0" fillId="0" borderId="0" xfId="0" applyFill="1" applyBorder="1" applyAlignment="1">
      <alignment horizontal="left" wrapText="1"/>
    </xf>
  </cellXfs>
  <cellStyles count="116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2" builtinId="9" hidden="1"/>
    <cellStyle name="Hipervínculo visitado" xfId="353" builtinId="9" hidden="1"/>
    <cellStyle name="Hipervínculo visitado" xfId="354" builtinId="9" hidden="1"/>
    <cellStyle name="Hipervínculo visitado" xfId="355" builtinId="9" hidden="1"/>
    <cellStyle name="Hipervínculo visitado" xfId="356" builtinId="9" hidden="1"/>
    <cellStyle name="Hipervínculo visitado" xfId="357" builtinId="9" hidden="1"/>
    <cellStyle name="Hipervínculo visitado" xfId="358" builtinId="9" hidden="1"/>
    <cellStyle name="Hipervínculo visitado" xfId="359" builtinId="9" hidden="1"/>
    <cellStyle name="Hipervínculo visitado" xfId="360" builtinId="9" hidden="1"/>
    <cellStyle name="Hipervínculo visitado" xfId="361" builtinId="9" hidden="1"/>
    <cellStyle name="Hipervínculo visitado" xfId="362" builtinId="9" hidden="1"/>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Hipervínculo visitado" xfId="382" builtinId="9" hidden="1"/>
    <cellStyle name="Hipervínculo visitado" xfId="383" builtinId="9" hidden="1"/>
    <cellStyle name="Hipervínculo visitado" xfId="384" builtinId="9" hidden="1"/>
    <cellStyle name="Hipervínculo visitado" xfId="385" builtinId="9" hidden="1"/>
    <cellStyle name="Hipervínculo visitado" xfId="386" builtinId="9" hidden="1"/>
    <cellStyle name="Hipervínculo visitado" xfId="387" builtinId="9" hidden="1"/>
    <cellStyle name="Hipervínculo visitado" xfId="388" builtinId="9" hidden="1"/>
    <cellStyle name="Hipervínculo visitado" xfId="389" builtinId="9" hidden="1"/>
    <cellStyle name="Hipervínculo visitado" xfId="390" builtinId="9" hidden="1"/>
    <cellStyle name="Hipervínculo visitado" xfId="391" builtinId="9" hidden="1"/>
    <cellStyle name="Hipervínculo visitado" xfId="392" builtinId="9" hidden="1"/>
    <cellStyle name="Hipervínculo visitado" xfId="393" builtinId="9" hidden="1"/>
    <cellStyle name="Hipervínculo visitado" xfId="394" builtinId="9" hidden="1"/>
    <cellStyle name="Hipervínculo visitado" xfId="395" builtinId="9" hidden="1"/>
    <cellStyle name="Hipervínculo visitado" xfId="396" builtinId="9" hidden="1"/>
    <cellStyle name="Hipervínculo visitado" xfId="397" builtinId="9" hidden="1"/>
    <cellStyle name="Hipervínculo visitado" xfId="398" builtinId="9" hidden="1"/>
    <cellStyle name="Hipervínculo visitado" xfId="399" builtinId="9" hidden="1"/>
    <cellStyle name="Hipervínculo visitado" xfId="400" builtinId="9" hidden="1"/>
    <cellStyle name="Hipervínculo visitado" xfId="401" builtinId="9" hidden="1"/>
    <cellStyle name="Hipervínculo visitado" xfId="402" builtinId="9" hidden="1"/>
    <cellStyle name="Hipervínculo visitado" xfId="403" builtinId="9" hidden="1"/>
    <cellStyle name="Hipervínculo visitado" xfId="404" builtinId="9" hidden="1"/>
    <cellStyle name="Hipervínculo visitado" xfId="405" builtinId="9" hidden="1"/>
    <cellStyle name="Hipervínculo visitado" xfId="406" builtinId="9" hidden="1"/>
    <cellStyle name="Hipervínculo visitado" xfId="407" builtinId="9" hidden="1"/>
    <cellStyle name="Hipervínculo visitado" xfId="408" builtinId="9" hidden="1"/>
    <cellStyle name="Hipervínculo visitado" xfId="409" builtinId="9" hidden="1"/>
    <cellStyle name="Hipervínculo visitado" xfId="410" builtinId="9" hidden="1"/>
    <cellStyle name="Hipervínculo visitado" xfId="411" builtinId="9" hidden="1"/>
    <cellStyle name="Hipervínculo visitado" xfId="412" builtinId="9" hidden="1"/>
    <cellStyle name="Hipervínculo visitado" xfId="413" builtinId="9" hidden="1"/>
    <cellStyle name="Hipervínculo visitado" xfId="414" builtinId="9" hidden="1"/>
    <cellStyle name="Hipervínculo visitado" xfId="415" builtinId="9" hidden="1"/>
    <cellStyle name="Hipervínculo visitado" xfId="416" builtinId="9" hidden="1"/>
    <cellStyle name="Hipervínculo visitado" xfId="417" builtinId="9" hidden="1"/>
    <cellStyle name="Hipervínculo visitado" xfId="418" builtinId="9" hidden="1"/>
    <cellStyle name="Hipervínculo visitado" xfId="419" builtinId="9" hidden="1"/>
    <cellStyle name="Hipervínculo visitado" xfId="420" builtinId="9" hidden="1"/>
    <cellStyle name="Hipervínculo visitado" xfId="421" builtinId="9" hidden="1"/>
    <cellStyle name="Hipervínculo visitado" xfId="422" builtinId="9" hidden="1"/>
    <cellStyle name="Hipervínculo visitado" xfId="423" builtinId="9" hidden="1"/>
    <cellStyle name="Hipervínculo visitado" xfId="424" builtinId="9" hidden="1"/>
    <cellStyle name="Hipervínculo visitado" xfId="425" builtinId="9" hidden="1"/>
    <cellStyle name="Hipervínculo visitado" xfId="426" builtinId="9" hidden="1"/>
    <cellStyle name="Hipervínculo visitado" xfId="427" builtinId="9" hidden="1"/>
    <cellStyle name="Hipervínculo visitado" xfId="428" builtinId="9" hidden="1"/>
    <cellStyle name="Hipervínculo visitado" xfId="429" builtinId="9" hidden="1"/>
    <cellStyle name="Hipervínculo visitado" xfId="430" builtinId="9" hidden="1"/>
    <cellStyle name="Hipervínculo visitado" xfId="431" builtinId="9" hidden="1"/>
    <cellStyle name="Hipervínculo visitado" xfId="432" builtinId="9" hidden="1"/>
    <cellStyle name="Hipervínculo visitado" xfId="433" builtinId="9" hidden="1"/>
    <cellStyle name="Hipervínculo visitado" xfId="434" builtinId="9" hidden="1"/>
    <cellStyle name="Hipervínculo visitado" xfId="435" builtinId="9" hidden="1"/>
    <cellStyle name="Hipervínculo visitado" xfId="436" builtinId="9" hidden="1"/>
    <cellStyle name="Hipervínculo visitado" xfId="437" builtinId="9" hidden="1"/>
    <cellStyle name="Hipervínculo visitado" xfId="438" builtinId="9" hidden="1"/>
    <cellStyle name="Hipervínculo visitado" xfId="439" builtinId="9" hidden="1"/>
    <cellStyle name="Hipervínculo visitado" xfId="440" builtinId="9" hidden="1"/>
    <cellStyle name="Hipervínculo visitado" xfId="441" builtinId="9" hidden="1"/>
    <cellStyle name="Hipervínculo visitado" xfId="442" builtinId="9" hidden="1"/>
    <cellStyle name="Hipervínculo visitado" xfId="443" builtinId="9" hidden="1"/>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Hipervínculo visitado" xfId="451" builtinId="9" hidden="1"/>
    <cellStyle name="Hipervínculo visitado" xfId="452" builtinId="9" hidden="1"/>
    <cellStyle name="Hipervínculo visitado" xfId="453" builtinId="9" hidden="1"/>
    <cellStyle name="Hipervínculo visitado" xfId="454" builtinId="9" hidden="1"/>
    <cellStyle name="Hipervínculo visitado" xfId="455" builtinId="9" hidden="1"/>
    <cellStyle name="Hipervínculo visitado" xfId="456" builtinId="9" hidden="1"/>
    <cellStyle name="Hipervínculo visitado" xfId="457" builtinId="9" hidden="1"/>
    <cellStyle name="Hipervínculo visitado" xfId="458" builtinId="9" hidden="1"/>
    <cellStyle name="Hipervínculo visitado" xfId="459" builtinId="9" hidden="1"/>
    <cellStyle name="Hipervínculo visitado" xfId="460" builtinId="9" hidden="1"/>
    <cellStyle name="Hipervínculo visitado" xfId="461" builtinId="9" hidden="1"/>
    <cellStyle name="Hipervínculo visitado" xfId="462" builtinId="9" hidden="1"/>
    <cellStyle name="Hipervínculo visitado" xfId="463" builtinId="9" hidden="1"/>
    <cellStyle name="Hipervínculo visitado" xfId="464" builtinId="9" hidden="1"/>
    <cellStyle name="Hipervínculo visitado" xfId="465" builtinId="9" hidden="1"/>
    <cellStyle name="Hipervínculo visitado" xfId="466" builtinId="9" hidden="1"/>
    <cellStyle name="Hipervínculo visitado" xfId="467" builtinId="9" hidden="1"/>
    <cellStyle name="Hipervínculo visitado" xfId="468" builtinId="9" hidden="1"/>
    <cellStyle name="Hipervínculo visitado" xfId="469" builtinId="9" hidden="1"/>
    <cellStyle name="Hipervínculo visitado" xfId="470" builtinId="9" hidden="1"/>
    <cellStyle name="Hipervínculo visitado" xfId="471" builtinId="9" hidden="1"/>
    <cellStyle name="Hipervínculo visitado" xfId="472" builtinId="9" hidden="1"/>
    <cellStyle name="Hipervínculo visitado" xfId="473" builtinId="9" hidden="1"/>
    <cellStyle name="Hipervínculo visitado" xfId="474" builtinId="9" hidden="1"/>
    <cellStyle name="Hipervínculo visitado" xfId="475" builtinId="9" hidden="1"/>
    <cellStyle name="Hipervínculo visitado" xfId="476" builtinId="9" hidden="1"/>
    <cellStyle name="Hipervínculo visitado" xfId="477" builtinId="9" hidden="1"/>
    <cellStyle name="Hipervínculo visitado" xfId="478" builtinId="9" hidden="1"/>
    <cellStyle name="Hipervínculo visitado" xfId="479" builtinId="9" hidden="1"/>
    <cellStyle name="Hipervínculo visitado" xfId="480" builtinId="9" hidden="1"/>
    <cellStyle name="Hipervínculo visitado" xfId="481" builtinId="9" hidden="1"/>
    <cellStyle name="Hipervínculo visitado" xfId="482" builtinId="9" hidden="1"/>
    <cellStyle name="Hipervínculo visitado" xfId="483" builtinId="9" hidden="1"/>
    <cellStyle name="Hipervínculo visitado" xfId="484" builtinId="9" hidden="1"/>
    <cellStyle name="Hipervínculo visitado" xfId="485" builtinId="9" hidden="1"/>
    <cellStyle name="Hipervínculo visitado" xfId="486" builtinId="9" hidden="1"/>
    <cellStyle name="Hipervínculo visitado" xfId="487" builtinId="9" hidden="1"/>
    <cellStyle name="Hipervínculo visitado" xfId="488" builtinId="9" hidden="1"/>
    <cellStyle name="Hipervínculo visitado" xfId="489" builtinId="9" hidden="1"/>
    <cellStyle name="Hipervínculo visitado" xfId="490" builtinId="9" hidden="1"/>
    <cellStyle name="Hipervínculo visitado" xfId="491" builtinId="9" hidden="1"/>
    <cellStyle name="Hipervínculo visitado" xfId="492" builtinId="9" hidden="1"/>
    <cellStyle name="Hipervínculo visitado" xfId="493" builtinId="9" hidden="1"/>
    <cellStyle name="Hipervínculo visitado" xfId="494" builtinId="9" hidden="1"/>
    <cellStyle name="Hipervínculo visitado" xfId="495" builtinId="9" hidden="1"/>
    <cellStyle name="Hipervínculo visitado" xfId="496" builtinId="9" hidden="1"/>
    <cellStyle name="Hipervínculo visitado" xfId="497" builtinId="9" hidden="1"/>
    <cellStyle name="Hipervínculo visitado" xfId="498" builtinId="9" hidden="1"/>
    <cellStyle name="Hipervínculo visitado" xfId="499" builtinId="9" hidden="1"/>
    <cellStyle name="Hipervínculo visitado" xfId="500" builtinId="9" hidden="1"/>
    <cellStyle name="Hipervínculo visitado" xfId="501" builtinId="9" hidden="1"/>
    <cellStyle name="Hipervínculo visitado" xfId="502" builtinId="9" hidden="1"/>
    <cellStyle name="Hipervínculo visitado" xfId="503" builtinId="9" hidden="1"/>
    <cellStyle name="Hipervínculo visitado" xfId="504" builtinId="9" hidden="1"/>
    <cellStyle name="Hipervínculo visitado" xfId="505" builtinId="9" hidden="1"/>
    <cellStyle name="Hipervínculo visitado" xfId="506" builtinId="9" hidden="1"/>
    <cellStyle name="Hipervínculo visitado" xfId="507" builtinId="9" hidden="1"/>
    <cellStyle name="Hipervínculo visitado" xfId="508" builtinId="9" hidden="1"/>
    <cellStyle name="Hipervínculo visitado" xfId="509" builtinId="9" hidden="1"/>
    <cellStyle name="Hipervínculo visitado" xfId="510" builtinId="9" hidden="1"/>
    <cellStyle name="Hipervínculo visitado" xfId="511" builtinId="9" hidden="1"/>
    <cellStyle name="Hipervínculo visitado" xfId="512" builtinId="9" hidden="1"/>
    <cellStyle name="Hipervínculo visitado" xfId="513" builtinId="9" hidden="1"/>
    <cellStyle name="Hipervínculo visitado" xfId="514" builtinId="9" hidden="1"/>
    <cellStyle name="Hipervínculo visitado" xfId="515" builtinId="9" hidden="1"/>
    <cellStyle name="Hipervínculo visitado" xfId="516" builtinId="9" hidden="1"/>
    <cellStyle name="Hipervínculo visitado" xfId="517" builtinId="9" hidden="1"/>
    <cellStyle name="Hipervínculo visitado" xfId="518" builtinId="9" hidden="1"/>
    <cellStyle name="Hipervínculo visitado" xfId="519" builtinId="9" hidden="1"/>
    <cellStyle name="Hipervínculo visitado" xfId="520" builtinId="9" hidden="1"/>
    <cellStyle name="Hipervínculo visitado" xfId="521" builtinId="9" hidden="1"/>
    <cellStyle name="Hipervínculo visitado" xfId="522" builtinId="9" hidden="1"/>
    <cellStyle name="Hipervínculo visitado" xfId="523" builtinId="9" hidden="1"/>
    <cellStyle name="Hipervínculo visitado" xfId="524" builtinId="9" hidden="1"/>
    <cellStyle name="Hipervínculo visitado" xfId="525" builtinId="9" hidden="1"/>
    <cellStyle name="Hipervínculo visitado" xfId="526" builtinId="9" hidden="1"/>
    <cellStyle name="Hipervínculo visitado" xfId="527" builtinId="9" hidden="1"/>
    <cellStyle name="Hipervínculo visitado" xfId="528" builtinId="9" hidden="1"/>
    <cellStyle name="Hipervínculo visitado" xfId="529" builtinId="9" hidden="1"/>
    <cellStyle name="Hipervínculo visitado" xfId="530" builtinId="9" hidden="1"/>
    <cellStyle name="Hipervínculo visitado" xfId="531" builtinId="9" hidden="1"/>
    <cellStyle name="Hipervínculo visitado" xfId="532" builtinId="9" hidden="1"/>
    <cellStyle name="Hipervínculo visitado" xfId="533" builtinId="9" hidden="1"/>
    <cellStyle name="Hipervínculo visitado" xfId="534" builtinId="9" hidden="1"/>
    <cellStyle name="Hipervínculo visitado" xfId="535" builtinId="9" hidden="1"/>
    <cellStyle name="Hipervínculo visitado" xfId="536" builtinId="9" hidden="1"/>
    <cellStyle name="Hipervínculo visitado" xfId="537" builtinId="9" hidden="1"/>
    <cellStyle name="Hipervínculo visitado" xfId="538" builtinId="9" hidden="1"/>
    <cellStyle name="Hipervínculo visitado" xfId="539" builtinId="9" hidden="1"/>
    <cellStyle name="Hipervínculo visitado" xfId="540" builtinId="9" hidden="1"/>
    <cellStyle name="Hipervínculo visitado" xfId="541" builtinId="9" hidden="1"/>
    <cellStyle name="Hipervínculo visitado" xfId="542" builtinId="9" hidden="1"/>
    <cellStyle name="Hipervínculo visitado" xfId="543" builtinId="9" hidden="1"/>
    <cellStyle name="Hipervínculo visitado" xfId="544" builtinId="9" hidden="1"/>
    <cellStyle name="Hipervínculo visitado" xfId="545" builtinId="9" hidden="1"/>
    <cellStyle name="Hipervínculo visitado" xfId="546" builtinId="9" hidden="1"/>
    <cellStyle name="Hipervínculo visitado" xfId="547" builtinId="9" hidden="1"/>
    <cellStyle name="Hipervínculo visitado" xfId="548" builtinId="9" hidden="1"/>
    <cellStyle name="Hipervínculo visitado" xfId="549" builtinId="9" hidden="1"/>
    <cellStyle name="Hipervínculo visitado" xfId="550" builtinId="9" hidden="1"/>
    <cellStyle name="Hipervínculo visitado" xfId="551" builtinId="9" hidden="1"/>
    <cellStyle name="Hipervínculo visitado" xfId="552" builtinId="9" hidden="1"/>
    <cellStyle name="Hipervínculo visitado" xfId="553" builtinId="9" hidden="1"/>
    <cellStyle name="Hipervínculo visitado" xfId="554" builtinId="9" hidden="1"/>
    <cellStyle name="Hipervínculo visitado" xfId="555" builtinId="9" hidden="1"/>
    <cellStyle name="Hipervínculo visitado" xfId="556" builtinId="9" hidden="1"/>
    <cellStyle name="Hipervínculo visitado" xfId="557" builtinId="9" hidden="1"/>
    <cellStyle name="Hipervínculo visitado" xfId="558" builtinId="9" hidden="1"/>
    <cellStyle name="Hipervínculo visitado" xfId="559" builtinId="9" hidden="1"/>
    <cellStyle name="Hipervínculo visitado" xfId="560" builtinId="9" hidden="1"/>
    <cellStyle name="Hipervínculo visitado" xfId="561" builtinId="9" hidden="1"/>
    <cellStyle name="Hipervínculo visitado" xfId="562" builtinId="9" hidden="1"/>
    <cellStyle name="Hipervínculo visitado" xfId="563" builtinId="9" hidden="1"/>
    <cellStyle name="Hipervínculo visitado" xfId="564" builtinId="9" hidden="1"/>
    <cellStyle name="Hipervínculo visitado" xfId="565" builtinId="9" hidden="1"/>
    <cellStyle name="Hipervínculo visitado" xfId="566" builtinId="9" hidden="1"/>
    <cellStyle name="Hipervínculo visitado" xfId="567" builtinId="9" hidden="1"/>
    <cellStyle name="Hipervínculo visitado" xfId="568" builtinId="9" hidden="1"/>
    <cellStyle name="Hipervínculo visitado" xfId="569" builtinId="9" hidden="1"/>
    <cellStyle name="Hipervínculo visitado" xfId="570" builtinId="9" hidden="1"/>
    <cellStyle name="Hipervínculo visitado" xfId="571" builtinId="9" hidden="1"/>
    <cellStyle name="Hipervínculo visitado" xfId="572" builtinId="9" hidden="1"/>
    <cellStyle name="Hipervínculo visitado" xfId="573" builtinId="9" hidden="1"/>
    <cellStyle name="Hipervínculo visitado" xfId="574" builtinId="9" hidden="1"/>
    <cellStyle name="Hipervínculo visitado" xfId="575" builtinId="9" hidden="1"/>
    <cellStyle name="Hipervínculo visitado" xfId="576" builtinId="9" hidden="1"/>
    <cellStyle name="Hipervínculo visitado" xfId="577" builtinId="9" hidden="1"/>
    <cellStyle name="Hipervínculo visitado" xfId="578" builtinId="9" hidden="1"/>
    <cellStyle name="Hipervínculo visitado" xfId="579" builtinId="9" hidden="1"/>
    <cellStyle name="Hipervínculo visitado" xfId="580" builtinId="9" hidden="1"/>
    <cellStyle name="Hipervínculo visitado" xfId="581" builtinId="9" hidden="1"/>
    <cellStyle name="Hipervínculo visitado" xfId="582" builtinId="9" hidden="1"/>
    <cellStyle name="Hipervínculo visitado" xfId="583" builtinId="9" hidden="1"/>
    <cellStyle name="Hipervínculo visitado" xfId="584" builtinId="9" hidden="1"/>
    <cellStyle name="Hipervínculo visitado" xfId="585" builtinId="9" hidden="1"/>
    <cellStyle name="Hipervínculo visitado" xfId="586" builtinId="9" hidden="1"/>
    <cellStyle name="Hipervínculo visitado" xfId="587" builtinId="9" hidden="1"/>
    <cellStyle name="Hipervínculo visitado" xfId="588" builtinId="9" hidden="1"/>
    <cellStyle name="Hipervínculo visitado" xfId="589" builtinId="9" hidden="1"/>
    <cellStyle name="Hipervínculo visitado" xfId="590" builtinId="9" hidden="1"/>
    <cellStyle name="Hipervínculo visitado" xfId="591" builtinId="9" hidden="1"/>
    <cellStyle name="Hipervínculo visitado" xfId="592" builtinId="9" hidden="1"/>
    <cellStyle name="Hipervínculo visitado" xfId="593" builtinId="9" hidden="1"/>
    <cellStyle name="Hipervínculo visitado" xfId="594" builtinId="9" hidden="1"/>
    <cellStyle name="Hipervínculo visitado" xfId="595" builtinId="9" hidden="1"/>
    <cellStyle name="Hipervínculo visitado" xfId="596" builtinId="9" hidden="1"/>
    <cellStyle name="Hipervínculo visitado" xfId="597" builtinId="9" hidden="1"/>
    <cellStyle name="Hipervínculo visitado" xfId="598" builtinId="9" hidden="1"/>
    <cellStyle name="Hipervínculo visitado" xfId="599" builtinId="9" hidden="1"/>
    <cellStyle name="Hipervínculo visitado" xfId="600" builtinId="9" hidden="1"/>
    <cellStyle name="Hipervínculo visitado" xfId="601" builtinId="9" hidden="1"/>
    <cellStyle name="Hipervínculo visitado" xfId="602" builtinId="9" hidden="1"/>
    <cellStyle name="Hipervínculo visitado" xfId="603" builtinId="9" hidden="1"/>
    <cellStyle name="Hipervínculo visitado" xfId="604" builtinId="9" hidden="1"/>
    <cellStyle name="Hipervínculo visitado" xfId="605" builtinId="9" hidden="1"/>
    <cellStyle name="Hipervínculo visitado" xfId="606" builtinId="9" hidden="1"/>
    <cellStyle name="Hipervínculo visitado" xfId="607" builtinId="9" hidden="1"/>
    <cellStyle name="Hipervínculo visitado" xfId="608" builtinId="9" hidden="1"/>
    <cellStyle name="Hipervínculo visitado" xfId="609" builtinId="9" hidden="1"/>
    <cellStyle name="Hipervínculo visitado" xfId="610" builtinId="9" hidden="1"/>
    <cellStyle name="Hipervínculo visitado" xfId="611" builtinId="9" hidden="1"/>
    <cellStyle name="Hipervínculo visitado" xfId="612" builtinId="9" hidden="1"/>
    <cellStyle name="Hipervínculo visitado" xfId="613" builtinId="9" hidden="1"/>
    <cellStyle name="Hipervínculo visitado" xfId="614" builtinId="9" hidden="1"/>
    <cellStyle name="Hipervínculo visitado" xfId="615" builtinId="9" hidden="1"/>
    <cellStyle name="Hipervínculo visitado" xfId="616" builtinId="9" hidden="1"/>
    <cellStyle name="Hipervínculo visitado" xfId="617" builtinId="9" hidden="1"/>
    <cellStyle name="Hipervínculo visitado" xfId="618" builtinId="9" hidden="1"/>
    <cellStyle name="Hipervínculo visitado" xfId="619" builtinId="9" hidden="1"/>
    <cellStyle name="Hipervínculo visitado" xfId="620" builtinId="9" hidden="1"/>
    <cellStyle name="Hipervínculo visitado" xfId="621" builtinId="9" hidden="1"/>
    <cellStyle name="Hipervínculo visitado" xfId="622" builtinId="9" hidden="1"/>
    <cellStyle name="Hipervínculo visitado" xfId="623" builtinId="9" hidden="1"/>
    <cellStyle name="Hipervínculo visitado" xfId="624" builtinId="9" hidden="1"/>
    <cellStyle name="Hipervínculo visitado" xfId="625" builtinId="9" hidden="1"/>
    <cellStyle name="Hipervínculo visitado" xfId="626" builtinId="9" hidden="1"/>
    <cellStyle name="Hipervínculo visitado" xfId="627" builtinId="9" hidden="1"/>
    <cellStyle name="Hipervínculo visitado" xfId="628" builtinId="9" hidden="1"/>
    <cellStyle name="Hipervínculo visitado" xfId="629" builtinId="9" hidden="1"/>
    <cellStyle name="Hipervínculo visitado" xfId="630" builtinId="9" hidden="1"/>
    <cellStyle name="Hipervínculo visitado" xfId="631" builtinId="9" hidden="1"/>
    <cellStyle name="Hipervínculo visitado" xfId="632" builtinId="9" hidden="1"/>
    <cellStyle name="Hipervínculo visitado" xfId="633" builtinId="9" hidden="1"/>
    <cellStyle name="Hipervínculo visitado" xfId="634" builtinId="9" hidden="1"/>
    <cellStyle name="Hipervínculo visitado" xfId="635" builtinId="9" hidden="1"/>
    <cellStyle name="Hipervínculo visitado" xfId="636" builtinId="9" hidden="1"/>
    <cellStyle name="Hipervínculo visitado" xfId="637" builtinId="9" hidden="1"/>
    <cellStyle name="Hipervínculo visitado" xfId="638" builtinId="9" hidden="1"/>
    <cellStyle name="Hipervínculo visitado" xfId="639" builtinId="9" hidden="1"/>
    <cellStyle name="Hipervínculo visitado" xfId="640" builtinId="9" hidden="1"/>
    <cellStyle name="Hipervínculo visitado" xfId="641" builtinId="9" hidden="1"/>
    <cellStyle name="Hipervínculo visitado" xfId="642" builtinId="9" hidden="1"/>
    <cellStyle name="Hipervínculo visitado" xfId="643" builtinId="9" hidden="1"/>
    <cellStyle name="Hipervínculo visitado" xfId="644" builtinId="9" hidden="1"/>
    <cellStyle name="Hipervínculo visitado" xfId="645" builtinId="9" hidden="1"/>
    <cellStyle name="Hipervínculo visitado" xfId="646" builtinId="9" hidden="1"/>
    <cellStyle name="Hipervínculo visitado" xfId="647" builtinId="9" hidden="1"/>
    <cellStyle name="Hipervínculo visitado" xfId="648" builtinId="9" hidden="1"/>
    <cellStyle name="Hipervínculo visitado" xfId="649" builtinId="9" hidden="1"/>
    <cellStyle name="Hipervínculo visitado" xfId="650" builtinId="9" hidden="1"/>
    <cellStyle name="Hipervínculo visitado" xfId="651" builtinId="9" hidden="1"/>
    <cellStyle name="Hipervínculo visitado" xfId="652" builtinId="9" hidden="1"/>
    <cellStyle name="Hipervínculo visitado" xfId="653" builtinId="9" hidden="1"/>
    <cellStyle name="Hipervínculo visitado" xfId="654" builtinId="9" hidden="1"/>
    <cellStyle name="Hipervínculo visitado" xfId="655" builtinId="9" hidden="1"/>
    <cellStyle name="Hipervínculo visitado" xfId="656" builtinId="9" hidden="1"/>
    <cellStyle name="Hipervínculo visitado" xfId="657" builtinId="9" hidden="1"/>
    <cellStyle name="Hipervínculo visitado" xfId="658" builtinId="9" hidden="1"/>
    <cellStyle name="Hipervínculo visitado" xfId="659" builtinId="9" hidden="1"/>
    <cellStyle name="Hipervínculo visitado" xfId="660" builtinId="9" hidden="1"/>
    <cellStyle name="Hipervínculo visitado" xfId="661" builtinId="9" hidden="1"/>
    <cellStyle name="Hipervínculo visitado" xfId="662" builtinId="9" hidden="1"/>
    <cellStyle name="Hipervínculo visitado" xfId="663" builtinId="9" hidden="1"/>
    <cellStyle name="Hipervínculo visitado" xfId="664" builtinId="9" hidden="1"/>
    <cellStyle name="Hipervínculo visitado" xfId="665" builtinId="9" hidden="1"/>
    <cellStyle name="Hipervínculo visitado" xfId="666" builtinId="9" hidden="1"/>
    <cellStyle name="Hipervínculo visitado" xfId="667" builtinId="9" hidden="1"/>
    <cellStyle name="Hipervínculo visitado" xfId="668" builtinId="9" hidden="1"/>
    <cellStyle name="Hipervínculo visitado" xfId="669" builtinId="9" hidden="1"/>
    <cellStyle name="Hipervínculo visitado" xfId="670" builtinId="9" hidden="1"/>
    <cellStyle name="Hipervínculo visitado" xfId="671" builtinId="9" hidden="1"/>
    <cellStyle name="Hipervínculo visitado" xfId="672" builtinId="9" hidden="1"/>
    <cellStyle name="Hipervínculo visitado" xfId="673" builtinId="9" hidden="1"/>
    <cellStyle name="Hipervínculo visitado" xfId="674" builtinId="9" hidden="1"/>
    <cellStyle name="Hipervínculo visitado" xfId="675" builtinId="9" hidden="1"/>
    <cellStyle name="Hipervínculo visitado" xfId="676" builtinId="9" hidden="1"/>
    <cellStyle name="Hipervínculo visitado" xfId="677" builtinId="9" hidden="1"/>
    <cellStyle name="Hipervínculo visitado" xfId="678" builtinId="9" hidden="1"/>
    <cellStyle name="Hipervínculo visitado" xfId="679" builtinId="9" hidden="1"/>
    <cellStyle name="Hipervínculo visitado" xfId="680" builtinId="9" hidden="1"/>
    <cellStyle name="Hipervínculo visitado" xfId="681" builtinId="9" hidden="1"/>
    <cellStyle name="Hipervínculo visitado" xfId="682" builtinId="9" hidden="1"/>
    <cellStyle name="Hipervínculo visitado" xfId="683" builtinId="9" hidden="1"/>
    <cellStyle name="Hipervínculo visitado" xfId="684" builtinId="9" hidden="1"/>
    <cellStyle name="Hipervínculo visitado" xfId="685" builtinId="9" hidden="1"/>
    <cellStyle name="Hipervínculo visitado" xfId="686" builtinId="9" hidden="1"/>
    <cellStyle name="Hipervínculo visitado" xfId="687" builtinId="9" hidden="1"/>
    <cellStyle name="Hipervínculo visitado" xfId="688" builtinId="9" hidden="1"/>
    <cellStyle name="Hipervínculo visitado" xfId="689" builtinId="9" hidden="1"/>
    <cellStyle name="Hipervínculo visitado" xfId="690" builtinId="9" hidden="1"/>
    <cellStyle name="Hipervínculo visitado" xfId="691" builtinId="9" hidden="1"/>
    <cellStyle name="Hipervínculo visitado" xfId="692" builtinId="9" hidden="1"/>
    <cellStyle name="Hipervínculo visitado" xfId="693" builtinId="9" hidden="1"/>
    <cellStyle name="Hipervínculo visitado" xfId="694" builtinId="9" hidden="1"/>
    <cellStyle name="Hipervínculo visitado" xfId="695" builtinId="9" hidden="1"/>
    <cellStyle name="Hipervínculo visitado" xfId="696" builtinId="9" hidden="1"/>
    <cellStyle name="Hipervínculo visitado" xfId="697" builtinId="9" hidden="1"/>
    <cellStyle name="Hipervínculo visitado" xfId="698" builtinId="9" hidden="1"/>
    <cellStyle name="Hipervínculo visitado" xfId="699" builtinId="9" hidden="1"/>
    <cellStyle name="Hipervínculo visitado" xfId="700" builtinId="9" hidden="1"/>
    <cellStyle name="Hipervínculo visitado" xfId="701" builtinId="9" hidden="1"/>
    <cellStyle name="Hipervínculo visitado" xfId="702" builtinId="9" hidden="1"/>
    <cellStyle name="Hipervínculo visitado" xfId="703" builtinId="9" hidden="1"/>
    <cellStyle name="Hipervínculo visitado" xfId="704" builtinId="9" hidden="1"/>
    <cellStyle name="Hipervínculo visitado" xfId="705" builtinId="9" hidden="1"/>
    <cellStyle name="Hipervínculo visitado" xfId="706" builtinId="9" hidden="1"/>
    <cellStyle name="Hipervínculo visitado" xfId="707" builtinId="9" hidden="1"/>
    <cellStyle name="Hipervínculo visitado" xfId="708" builtinId="9" hidden="1"/>
    <cellStyle name="Hipervínculo visitado" xfId="709" builtinId="9" hidden="1"/>
    <cellStyle name="Hipervínculo visitado" xfId="710" builtinId="9" hidden="1"/>
    <cellStyle name="Hipervínculo visitado" xfId="711" builtinId="9" hidden="1"/>
    <cellStyle name="Hipervínculo visitado" xfId="712" builtinId="9" hidden="1"/>
    <cellStyle name="Hipervínculo visitado" xfId="713" builtinId="9" hidden="1"/>
    <cellStyle name="Hipervínculo visitado" xfId="714" builtinId="9" hidden="1"/>
    <cellStyle name="Hipervínculo visitado" xfId="715" builtinId="9" hidden="1"/>
    <cellStyle name="Hipervínculo visitado" xfId="716" builtinId="9" hidden="1"/>
    <cellStyle name="Hipervínculo visitado" xfId="717" builtinId="9" hidden="1"/>
    <cellStyle name="Hipervínculo visitado" xfId="718" builtinId="9" hidden="1"/>
    <cellStyle name="Hipervínculo visitado" xfId="719" builtinId="9" hidden="1"/>
    <cellStyle name="Hipervínculo visitado" xfId="720" builtinId="9" hidden="1"/>
    <cellStyle name="Hipervínculo visitado" xfId="721" builtinId="9" hidden="1"/>
    <cellStyle name="Hipervínculo visitado" xfId="722" builtinId="9" hidden="1"/>
    <cellStyle name="Hipervínculo visitado" xfId="723" builtinId="9" hidden="1"/>
    <cellStyle name="Hipervínculo visitado" xfId="724" builtinId="9" hidden="1"/>
    <cellStyle name="Hipervínculo visitado" xfId="725" builtinId="9" hidden="1"/>
    <cellStyle name="Hipervínculo visitado" xfId="726" builtinId="9" hidden="1"/>
    <cellStyle name="Hipervínculo visitado" xfId="727" builtinId="9" hidden="1"/>
    <cellStyle name="Hipervínculo visitado" xfId="728" builtinId="9" hidden="1"/>
    <cellStyle name="Hipervínculo visitado" xfId="729" builtinId="9" hidden="1"/>
    <cellStyle name="Hipervínculo visitado" xfId="730" builtinId="9" hidden="1"/>
    <cellStyle name="Hipervínculo visitado" xfId="731" builtinId="9" hidden="1"/>
    <cellStyle name="Hipervínculo visitado" xfId="732" builtinId="9" hidden="1"/>
    <cellStyle name="Hipervínculo visitado" xfId="733" builtinId="9" hidden="1"/>
    <cellStyle name="Hipervínculo visitado" xfId="734" builtinId="9" hidden="1"/>
    <cellStyle name="Hipervínculo visitado" xfId="735" builtinId="9" hidden="1"/>
    <cellStyle name="Hipervínculo visitado" xfId="736" builtinId="9" hidden="1"/>
    <cellStyle name="Hipervínculo visitado" xfId="737" builtinId="9" hidden="1"/>
    <cellStyle name="Hipervínculo visitado" xfId="738" builtinId="9" hidden="1"/>
    <cellStyle name="Hipervínculo visitado" xfId="739" builtinId="9" hidden="1"/>
    <cellStyle name="Hipervínculo visitado" xfId="740" builtinId="9" hidden="1"/>
    <cellStyle name="Hipervínculo visitado" xfId="741" builtinId="9" hidden="1"/>
    <cellStyle name="Hipervínculo visitado" xfId="742" builtinId="9" hidden="1"/>
    <cellStyle name="Hipervínculo visitado" xfId="743" builtinId="9" hidden="1"/>
    <cellStyle name="Hipervínculo visitado" xfId="744" builtinId="9" hidden="1"/>
    <cellStyle name="Hipervínculo visitado" xfId="745" builtinId="9" hidden="1"/>
    <cellStyle name="Hipervínculo visitado" xfId="746" builtinId="9" hidden="1"/>
    <cellStyle name="Hipervínculo visitado" xfId="747" builtinId="9" hidden="1"/>
    <cellStyle name="Hipervínculo visitado" xfId="748" builtinId="9" hidden="1"/>
    <cellStyle name="Hipervínculo visitado" xfId="749" builtinId="9" hidden="1"/>
    <cellStyle name="Hipervínculo visitado" xfId="750" builtinId="9" hidden="1"/>
    <cellStyle name="Hipervínculo visitado" xfId="751" builtinId="9" hidden="1"/>
    <cellStyle name="Hipervínculo visitado" xfId="752" builtinId="9" hidden="1"/>
    <cellStyle name="Hipervínculo visitado" xfId="753" builtinId="9" hidden="1"/>
    <cellStyle name="Hipervínculo visitado" xfId="754" builtinId="9" hidden="1"/>
    <cellStyle name="Hipervínculo visitado" xfId="755" builtinId="9" hidden="1"/>
    <cellStyle name="Hipervínculo visitado" xfId="756" builtinId="9" hidden="1"/>
    <cellStyle name="Hipervínculo visitado" xfId="757" builtinId="9" hidden="1"/>
    <cellStyle name="Hipervínculo visitado" xfId="758" builtinId="9" hidden="1"/>
    <cellStyle name="Hipervínculo visitado" xfId="759" builtinId="9" hidden="1"/>
    <cellStyle name="Hipervínculo visitado" xfId="760" builtinId="9" hidden="1"/>
    <cellStyle name="Hipervínculo visitado" xfId="761" builtinId="9" hidden="1"/>
    <cellStyle name="Hipervínculo visitado" xfId="762" builtinId="9" hidden="1"/>
    <cellStyle name="Hipervínculo visitado" xfId="763" builtinId="9" hidden="1"/>
    <cellStyle name="Hipervínculo visitado" xfId="764" builtinId="9" hidden="1"/>
    <cellStyle name="Hipervínculo visitado" xfId="765" builtinId="9" hidden="1"/>
    <cellStyle name="Hipervínculo visitado" xfId="766" builtinId="9" hidden="1"/>
    <cellStyle name="Hipervínculo visitado" xfId="767" builtinId="9" hidden="1"/>
    <cellStyle name="Hipervínculo visitado" xfId="768" builtinId="9" hidden="1"/>
    <cellStyle name="Hipervínculo visitado" xfId="769" builtinId="9" hidden="1"/>
    <cellStyle name="Hipervínculo visitado" xfId="770" builtinId="9" hidden="1"/>
    <cellStyle name="Hipervínculo visitado" xfId="771" builtinId="9" hidden="1"/>
    <cellStyle name="Hipervínculo visitado" xfId="772" builtinId="9" hidden="1"/>
    <cellStyle name="Hipervínculo visitado" xfId="773" builtinId="9" hidden="1"/>
    <cellStyle name="Hipervínculo visitado" xfId="774" builtinId="9" hidden="1"/>
    <cellStyle name="Hipervínculo visitado" xfId="775" builtinId="9" hidden="1"/>
    <cellStyle name="Hipervínculo visitado" xfId="776" builtinId="9" hidden="1"/>
    <cellStyle name="Hipervínculo visitado" xfId="777" builtinId="9" hidden="1"/>
    <cellStyle name="Hipervínculo visitado" xfId="778" builtinId="9" hidden="1"/>
    <cellStyle name="Hipervínculo visitado" xfId="779" builtinId="9" hidden="1"/>
    <cellStyle name="Hipervínculo visitado" xfId="780" builtinId="9" hidden="1"/>
    <cellStyle name="Hipervínculo visitado" xfId="781" builtinId="9" hidden="1"/>
    <cellStyle name="Hipervínculo visitado" xfId="782" builtinId="9" hidden="1"/>
    <cellStyle name="Hipervínculo visitado" xfId="783" builtinId="9" hidden="1"/>
    <cellStyle name="Hipervínculo visitado" xfId="784" builtinId="9" hidden="1"/>
    <cellStyle name="Hipervínculo visitado" xfId="785" builtinId="9" hidden="1"/>
    <cellStyle name="Hipervínculo visitado" xfId="786" builtinId="9" hidden="1"/>
    <cellStyle name="Hipervínculo visitado" xfId="787" builtinId="9" hidden="1"/>
    <cellStyle name="Hipervínculo visitado" xfId="788" builtinId="9" hidden="1"/>
    <cellStyle name="Hipervínculo visitado" xfId="789" builtinId="9" hidden="1"/>
    <cellStyle name="Hipervínculo visitado" xfId="790" builtinId="9" hidden="1"/>
    <cellStyle name="Hipervínculo visitado" xfId="791" builtinId="9" hidden="1"/>
    <cellStyle name="Hipervínculo visitado" xfId="792" builtinId="9" hidden="1"/>
    <cellStyle name="Hipervínculo visitado" xfId="793" builtinId="9" hidden="1"/>
    <cellStyle name="Hipervínculo visitado" xfId="794" builtinId="9" hidden="1"/>
    <cellStyle name="Hipervínculo visitado" xfId="795" builtinId="9" hidden="1"/>
    <cellStyle name="Hipervínculo visitado" xfId="796" builtinId="9" hidden="1"/>
    <cellStyle name="Hipervínculo visitado" xfId="797" builtinId="9" hidden="1"/>
    <cellStyle name="Hipervínculo visitado" xfId="798" builtinId="9" hidden="1"/>
    <cellStyle name="Hipervínculo visitado" xfId="799" builtinId="9" hidden="1"/>
    <cellStyle name="Hipervínculo visitado" xfId="800" builtinId="9" hidden="1"/>
    <cellStyle name="Hipervínculo visitado" xfId="801" builtinId="9" hidden="1"/>
    <cellStyle name="Hipervínculo visitado" xfId="802" builtinId="9" hidden="1"/>
    <cellStyle name="Hipervínculo visitado" xfId="803" builtinId="9" hidden="1"/>
    <cellStyle name="Hipervínculo visitado" xfId="804" builtinId="9" hidden="1"/>
    <cellStyle name="Hipervínculo visitado" xfId="805" builtinId="9" hidden="1"/>
    <cellStyle name="Hipervínculo visitado" xfId="806" builtinId="9" hidden="1"/>
    <cellStyle name="Hipervínculo visitado" xfId="807" builtinId="9" hidden="1"/>
    <cellStyle name="Hipervínculo visitado" xfId="808" builtinId="9" hidden="1"/>
    <cellStyle name="Hipervínculo visitado" xfId="809" builtinId="9" hidden="1"/>
    <cellStyle name="Hipervínculo visitado" xfId="810" builtinId="9" hidden="1"/>
    <cellStyle name="Hipervínculo visitado" xfId="811" builtinId="9" hidden="1"/>
    <cellStyle name="Hipervínculo visitado" xfId="812" builtinId="9" hidden="1"/>
    <cellStyle name="Hipervínculo visitado" xfId="813" builtinId="9" hidden="1"/>
    <cellStyle name="Hipervínculo visitado" xfId="814" builtinId="9" hidden="1"/>
    <cellStyle name="Hipervínculo visitado" xfId="815" builtinId="9" hidden="1"/>
    <cellStyle name="Hipervínculo visitado" xfId="816" builtinId="9" hidden="1"/>
    <cellStyle name="Hipervínculo visitado" xfId="817" builtinId="9" hidden="1"/>
    <cellStyle name="Hipervínculo visitado" xfId="818" builtinId="9" hidden="1"/>
    <cellStyle name="Hipervínculo visitado" xfId="819" builtinId="9" hidden="1"/>
    <cellStyle name="Hipervínculo visitado" xfId="820" builtinId="9" hidden="1"/>
    <cellStyle name="Hipervínculo visitado" xfId="821" builtinId="9" hidden="1"/>
    <cellStyle name="Hipervínculo visitado" xfId="822" builtinId="9" hidden="1"/>
    <cellStyle name="Hipervínculo visitado" xfId="823" builtinId="9" hidden="1"/>
    <cellStyle name="Hipervínculo visitado" xfId="824" builtinId="9" hidden="1"/>
    <cellStyle name="Hipervínculo visitado" xfId="825" builtinId="9" hidden="1"/>
    <cellStyle name="Hipervínculo visitado" xfId="826" builtinId="9" hidden="1"/>
    <cellStyle name="Hipervínculo visitado" xfId="827" builtinId="9" hidden="1"/>
    <cellStyle name="Hipervínculo visitado" xfId="828" builtinId="9" hidden="1"/>
    <cellStyle name="Hipervínculo visitado" xfId="829" builtinId="9" hidden="1"/>
    <cellStyle name="Hipervínculo visitado" xfId="830" builtinId="9" hidden="1"/>
    <cellStyle name="Hipervínculo visitado" xfId="831" builtinId="9" hidden="1"/>
    <cellStyle name="Hipervínculo visitado" xfId="832" builtinId="9" hidden="1"/>
    <cellStyle name="Hipervínculo visitado" xfId="833" builtinId="9" hidden="1"/>
    <cellStyle name="Hipervínculo visitado" xfId="834" builtinId="9" hidden="1"/>
    <cellStyle name="Hipervínculo visitado" xfId="835" builtinId="9" hidden="1"/>
    <cellStyle name="Hipervínculo visitado" xfId="836" builtinId="9" hidden="1"/>
    <cellStyle name="Hipervínculo visitado" xfId="837" builtinId="9" hidden="1"/>
    <cellStyle name="Hipervínculo visitado" xfId="838" builtinId="9" hidden="1"/>
    <cellStyle name="Hipervínculo visitado" xfId="839" builtinId="9" hidden="1"/>
    <cellStyle name="Hipervínculo visitado" xfId="840" builtinId="9" hidden="1"/>
    <cellStyle name="Hipervínculo visitado" xfId="841" builtinId="9" hidden="1"/>
    <cellStyle name="Hipervínculo visitado" xfId="842" builtinId="9" hidden="1"/>
    <cellStyle name="Hipervínculo visitado" xfId="843" builtinId="9" hidden="1"/>
    <cellStyle name="Hipervínculo visitado" xfId="844" builtinId="9" hidden="1"/>
    <cellStyle name="Hipervínculo visitado" xfId="845" builtinId="9" hidden="1"/>
    <cellStyle name="Hipervínculo visitado" xfId="846" builtinId="9" hidden="1"/>
    <cellStyle name="Hipervínculo visitado" xfId="847" builtinId="9" hidden="1"/>
    <cellStyle name="Hipervínculo visitado" xfId="848" builtinId="9" hidden="1"/>
    <cellStyle name="Hipervínculo visitado" xfId="849" builtinId="9" hidden="1"/>
    <cellStyle name="Hipervínculo visitado" xfId="850" builtinId="9" hidden="1"/>
    <cellStyle name="Hipervínculo visitado" xfId="851" builtinId="9" hidden="1"/>
    <cellStyle name="Hipervínculo visitado" xfId="852" builtinId="9" hidden="1"/>
    <cellStyle name="Hipervínculo visitado" xfId="853" builtinId="9" hidden="1"/>
    <cellStyle name="Hipervínculo visitado" xfId="854" builtinId="9" hidden="1"/>
    <cellStyle name="Hipervínculo visitado" xfId="855" builtinId="9" hidden="1"/>
    <cellStyle name="Hipervínculo visitado" xfId="856" builtinId="9" hidden="1"/>
    <cellStyle name="Hipervínculo visitado" xfId="857" builtinId="9" hidden="1"/>
    <cellStyle name="Hipervínculo visitado" xfId="858" builtinId="9" hidden="1"/>
    <cellStyle name="Hipervínculo visitado" xfId="859" builtinId="9" hidden="1"/>
    <cellStyle name="Hipervínculo visitado" xfId="860" builtinId="9" hidden="1"/>
    <cellStyle name="Hipervínculo visitado" xfId="861" builtinId="9" hidden="1"/>
    <cellStyle name="Hipervínculo visitado" xfId="862" builtinId="9" hidden="1"/>
    <cellStyle name="Hipervínculo visitado" xfId="863" builtinId="9" hidden="1"/>
    <cellStyle name="Hipervínculo visitado" xfId="864" builtinId="9" hidden="1"/>
    <cellStyle name="Hipervínculo visitado" xfId="865" builtinId="9" hidden="1"/>
    <cellStyle name="Hipervínculo visitado" xfId="866" builtinId="9" hidden="1"/>
    <cellStyle name="Hipervínculo visitado" xfId="867" builtinId="9" hidden="1"/>
    <cellStyle name="Hipervínculo visitado" xfId="868" builtinId="9" hidden="1"/>
    <cellStyle name="Hipervínculo visitado" xfId="869" builtinId="9" hidden="1"/>
    <cellStyle name="Hipervínculo visitado" xfId="870" builtinId="9" hidden="1"/>
    <cellStyle name="Hipervínculo visitado" xfId="871" builtinId="9" hidden="1"/>
    <cellStyle name="Hipervínculo visitado" xfId="872" builtinId="9" hidden="1"/>
    <cellStyle name="Hipervínculo visitado" xfId="873" builtinId="9" hidden="1"/>
    <cellStyle name="Hipervínculo visitado" xfId="874" builtinId="9" hidden="1"/>
    <cellStyle name="Hipervínculo visitado" xfId="875" builtinId="9" hidden="1"/>
    <cellStyle name="Hipervínculo visitado" xfId="876" builtinId="9" hidden="1"/>
    <cellStyle name="Hipervínculo visitado" xfId="877" builtinId="9" hidden="1"/>
    <cellStyle name="Hipervínculo visitado" xfId="878" builtinId="9" hidden="1"/>
    <cellStyle name="Hipervínculo visitado" xfId="879" builtinId="9" hidden="1"/>
    <cellStyle name="Hipervínculo visitado" xfId="880" builtinId="9" hidden="1"/>
    <cellStyle name="Hipervínculo visitado" xfId="881" builtinId="9" hidden="1"/>
    <cellStyle name="Hipervínculo visitado" xfId="882" builtinId="9" hidden="1"/>
    <cellStyle name="Hipervínculo visitado" xfId="883" builtinId="9" hidden="1"/>
    <cellStyle name="Hipervínculo visitado" xfId="884" builtinId="9" hidden="1"/>
    <cellStyle name="Hipervínculo visitado" xfId="885" builtinId="9" hidden="1"/>
    <cellStyle name="Hipervínculo visitado" xfId="886" builtinId="9" hidden="1"/>
    <cellStyle name="Hipervínculo visitado" xfId="887" builtinId="9" hidden="1"/>
    <cellStyle name="Hipervínculo visitado" xfId="888" builtinId="9" hidden="1"/>
    <cellStyle name="Hipervínculo visitado" xfId="889" builtinId="9" hidden="1"/>
    <cellStyle name="Hipervínculo visitado" xfId="890" builtinId="9" hidden="1"/>
    <cellStyle name="Hipervínculo visitado" xfId="891" builtinId="9" hidden="1"/>
    <cellStyle name="Hipervínculo visitado" xfId="892" builtinId="9" hidden="1"/>
    <cellStyle name="Hipervínculo visitado" xfId="893" builtinId="9" hidden="1"/>
    <cellStyle name="Hipervínculo visitado" xfId="894" builtinId="9" hidden="1"/>
    <cellStyle name="Hipervínculo visitado" xfId="895" builtinId="9" hidden="1"/>
    <cellStyle name="Hipervínculo visitado" xfId="896" builtinId="9" hidden="1"/>
    <cellStyle name="Hipervínculo visitado" xfId="897" builtinId="9" hidden="1"/>
    <cellStyle name="Hipervínculo visitado" xfId="898" builtinId="9" hidden="1"/>
    <cellStyle name="Hipervínculo visitado" xfId="899" builtinId="9" hidden="1"/>
    <cellStyle name="Hipervínculo visitado" xfId="900" builtinId="9" hidden="1"/>
    <cellStyle name="Hipervínculo visitado" xfId="901" builtinId="9" hidden="1"/>
    <cellStyle name="Hipervínculo visitado" xfId="902" builtinId="9" hidden="1"/>
    <cellStyle name="Hipervínculo visitado" xfId="903" builtinId="9" hidden="1"/>
    <cellStyle name="Hipervínculo visitado" xfId="904" builtinId="9" hidden="1"/>
    <cellStyle name="Hipervínculo visitado" xfId="905" builtinId="9" hidden="1"/>
    <cellStyle name="Hipervínculo visitado" xfId="906" builtinId="9" hidden="1"/>
    <cellStyle name="Hipervínculo visitado" xfId="907" builtinId="9" hidden="1"/>
    <cellStyle name="Hipervínculo visitado" xfId="908" builtinId="9" hidden="1"/>
    <cellStyle name="Hipervínculo visitado" xfId="909" builtinId="9" hidden="1"/>
    <cellStyle name="Hipervínculo visitado" xfId="910" builtinId="9" hidden="1"/>
    <cellStyle name="Hipervínculo visitado" xfId="911" builtinId="9" hidden="1"/>
    <cellStyle name="Hipervínculo visitado" xfId="912" builtinId="9" hidden="1"/>
    <cellStyle name="Hipervínculo visitado" xfId="913" builtinId="9" hidden="1"/>
    <cellStyle name="Hipervínculo visitado" xfId="914" builtinId="9" hidden="1"/>
    <cellStyle name="Hipervínculo visitado" xfId="915" builtinId="9" hidden="1"/>
    <cellStyle name="Hipervínculo visitado" xfId="916" builtinId="9" hidden="1"/>
    <cellStyle name="Hipervínculo visitado" xfId="917" builtinId="9" hidden="1"/>
    <cellStyle name="Hipervínculo visitado" xfId="918" builtinId="9" hidden="1"/>
    <cellStyle name="Hipervínculo visitado" xfId="919" builtinId="9" hidden="1"/>
    <cellStyle name="Hipervínculo visitado" xfId="920" builtinId="9" hidden="1"/>
    <cellStyle name="Hipervínculo visitado" xfId="921" builtinId="9" hidden="1"/>
    <cellStyle name="Hipervínculo visitado" xfId="922" builtinId="9" hidden="1"/>
    <cellStyle name="Hipervínculo visitado" xfId="923" builtinId="9" hidden="1"/>
    <cellStyle name="Hipervínculo visitado" xfId="924" builtinId="9" hidden="1"/>
    <cellStyle name="Hipervínculo visitado" xfId="925" builtinId="9" hidden="1"/>
    <cellStyle name="Hipervínculo visitado" xfId="926" builtinId="9" hidden="1"/>
    <cellStyle name="Hipervínculo visitado" xfId="927" builtinId="9" hidden="1"/>
    <cellStyle name="Hipervínculo visitado" xfId="928" builtinId="9" hidden="1"/>
    <cellStyle name="Hipervínculo visitado" xfId="929" builtinId="9" hidden="1"/>
    <cellStyle name="Hipervínculo visitado" xfId="930" builtinId="9" hidden="1"/>
    <cellStyle name="Hipervínculo visitado" xfId="931" builtinId="9" hidden="1"/>
    <cellStyle name="Hipervínculo visitado" xfId="932" builtinId="9" hidden="1"/>
    <cellStyle name="Hipervínculo visitado" xfId="933" builtinId="9" hidden="1"/>
    <cellStyle name="Hipervínculo visitado" xfId="934" builtinId="9" hidden="1"/>
    <cellStyle name="Hipervínculo visitado" xfId="935" builtinId="9" hidden="1"/>
    <cellStyle name="Hipervínculo visitado" xfId="936" builtinId="9" hidden="1"/>
    <cellStyle name="Hipervínculo visitado" xfId="937" builtinId="9" hidden="1"/>
    <cellStyle name="Hipervínculo visitado" xfId="938" builtinId="9" hidden="1"/>
    <cellStyle name="Hipervínculo visitado" xfId="939" builtinId="9" hidden="1"/>
    <cellStyle name="Hipervínculo visitado" xfId="940" builtinId="9" hidden="1"/>
    <cellStyle name="Hipervínculo visitado" xfId="941" builtinId="9" hidden="1"/>
    <cellStyle name="Hipervínculo visitado" xfId="942" builtinId="9" hidden="1"/>
    <cellStyle name="Hipervínculo visitado" xfId="943" builtinId="9" hidden="1"/>
    <cellStyle name="Hipervínculo visitado" xfId="944" builtinId="9" hidden="1"/>
    <cellStyle name="Hipervínculo visitado" xfId="945" builtinId="9" hidden="1"/>
    <cellStyle name="Hipervínculo visitado" xfId="946" builtinId="9" hidden="1"/>
    <cellStyle name="Hipervínculo visitado" xfId="947" builtinId="9" hidden="1"/>
    <cellStyle name="Hipervínculo visitado" xfId="948" builtinId="9" hidden="1"/>
    <cellStyle name="Hipervínculo visitado" xfId="949" builtinId="9" hidden="1"/>
    <cellStyle name="Hipervínculo visitado" xfId="950" builtinId="9" hidden="1"/>
    <cellStyle name="Hipervínculo visitado" xfId="951" builtinId="9" hidden="1"/>
    <cellStyle name="Hipervínculo visitado" xfId="952" builtinId="9" hidden="1"/>
    <cellStyle name="Hipervínculo visitado" xfId="953" builtinId="9" hidden="1"/>
    <cellStyle name="Hipervínculo visitado" xfId="954" builtinId="9" hidden="1"/>
    <cellStyle name="Hipervínculo visitado" xfId="955" builtinId="9" hidden="1"/>
    <cellStyle name="Hipervínculo visitado" xfId="956" builtinId="9" hidden="1"/>
    <cellStyle name="Hipervínculo visitado" xfId="957" builtinId="9" hidden="1"/>
    <cellStyle name="Hipervínculo visitado" xfId="958" builtinId="9" hidden="1"/>
    <cellStyle name="Hipervínculo visitado" xfId="959" builtinId="9" hidden="1"/>
    <cellStyle name="Hipervínculo visitado" xfId="960" builtinId="9" hidden="1"/>
    <cellStyle name="Hipervínculo visitado" xfId="961" builtinId="9" hidden="1"/>
    <cellStyle name="Hipervínculo visitado" xfId="962" builtinId="9" hidden="1"/>
    <cellStyle name="Hipervínculo visitado" xfId="963" builtinId="9" hidden="1"/>
    <cellStyle name="Hipervínculo visitado" xfId="964" builtinId="9" hidden="1"/>
    <cellStyle name="Hipervínculo visitado" xfId="965" builtinId="9" hidden="1"/>
    <cellStyle name="Hipervínculo visitado" xfId="966" builtinId="9" hidden="1"/>
    <cellStyle name="Hipervínculo visitado" xfId="967" builtinId="9" hidden="1"/>
    <cellStyle name="Hipervínculo visitado" xfId="968" builtinId="9" hidden="1"/>
    <cellStyle name="Hipervínculo visitado" xfId="969" builtinId="9" hidden="1"/>
    <cellStyle name="Hipervínculo visitado" xfId="970" builtinId="9" hidden="1"/>
    <cellStyle name="Hipervínculo visitado" xfId="971" builtinId="9" hidden="1"/>
    <cellStyle name="Hipervínculo visitado" xfId="972" builtinId="9" hidden="1"/>
    <cellStyle name="Hipervínculo visitado" xfId="973" builtinId="9" hidden="1"/>
    <cellStyle name="Hipervínculo visitado" xfId="974" builtinId="9" hidden="1"/>
    <cellStyle name="Hipervínculo visitado" xfId="975" builtinId="9" hidden="1"/>
    <cellStyle name="Hipervínculo visitado" xfId="976" builtinId="9" hidden="1"/>
    <cellStyle name="Hipervínculo visitado" xfId="977" builtinId="9" hidden="1"/>
    <cellStyle name="Hipervínculo visitado" xfId="978" builtinId="9" hidden="1"/>
    <cellStyle name="Hipervínculo visitado" xfId="979" builtinId="9" hidden="1"/>
    <cellStyle name="Hipervínculo visitado" xfId="980" builtinId="9" hidden="1"/>
    <cellStyle name="Hipervínculo visitado" xfId="981" builtinId="9" hidden="1"/>
    <cellStyle name="Hipervínculo visitado" xfId="982" builtinId="9" hidden="1"/>
    <cellStyle name="Hipervínculo visitado" xfId="983" builtinId="9" hidden="1"/>
    <cellStyle name="Hipervínculo visitado" xfId="984" builtinId="9" hidden="1"/>
    <cellStyle name="Hipervínculo visitado" xfId="985" builtinId="9" hidden="1"/>
    <cellStyle name="Hipervínculo visitado" xfId="986" builtinId="9" hidden="1"/>
    <cellStyle name="Hipervínculo visitado" xfId="987" builtinId="9" hidden="1"/>
    <cellStyle name="Hipervínculo visitado" xfId="988" builtinId="9" hidden="1"/>
    <cellStyle name="Hipervínculo visitado" xfId="989" builtinId="9" hidden="1"/>
    <cellStyle name="Hipervínculo visitado" xfId="990" builtinId="9" hidden="1"/>
    <cellStyle name="Hipervínculo visitado" xfId="991" builtinId="9" hidden="1"/>
    <cellStyle name="Hipervínculo visitado" xfId="992" builtinId="9" hidden="1"/>
    <cellStyle name="Hipervínculo visitado" xfId="993" builtinId="9" hidden="1"/>
    <cellStyle name="Hipervínculo visitado" xfId="994" builtinId="9" hidden="1"/>
    <cellStyle name="Hipervínculo visitado" xfId="995" builtinId="9" hidden="1"/>
    <cellStyle name="Hipervínculo visitado" xfId="996" builtinId="9" hidden="1"/>
    <cellStyle name="Hipervínculo visitado" xfId="997" builtinId="9" hidden="1"/>
    <cellStyle name="Hipervínculo visitado" xfId="998" builtinId="9" hidden="1"/>
    <cellStyle name="Hipervínculo visitado" xfId="999" builtinId="9" hidden="1"/>
    <cellStyle name="Hipervínculo visitado" xfId="1000" builtinId="9" hidden="1"/>
    <cellStyle name="Hipervínculo visitado" xfId="1001" builtinId="9" hidden="1"/>
    <cellStyle name="Hipervínculo visitado" xfId="1002" builtinId="9" hidden="1"/>
    <cellStyle name="Hipervínculo visitado" xfId="1003" builtinId="9" hidden="1"/>
    <cellStyle name="Hipervínculo visitado" xfId="1004" builtinId="9" hidden="1"/>
    <cellStyle name="Hipervínculo visitado" xfId="1005" builtinId="9" hidden="1"/>
    <cellStyle name="Hipervínculo visitado" xfId="1006" builtinId="9" hidden="1"/>
    <cellStyle name="Hipervínculo visitado" xfId="1007" builtinId="9" hidden="1"/>
    <cellStyle name="Hipervínculo visitado" xfId="1008" builtinId="9" hidden="1"/>
    <cellStyle name="Hipervínculo visitado" xfId="1009" builtinId="9" hidden="1"/>
    <cellStyle name="Hipervínculo visitado" xfId="1010" builtinId="9" hidden="1"/>
    <cellStyle name="Hipervínculo visitado" xfId="1011" builtinId="9" hidden="1"/>
    <cellStyle name="Hipervínculo visitado" xfId="1012" builtinId="9" hidden="1"/>
    <cellStyle name="Hipervínculo visitado" xfId="1013" builtinId="9" hidden="1"/>
    <cellStyle name="Hipervínculo visitado" xfId="1014" builtinId="9" hidden="1"/>
    <cellStyle name="Hipervínculo visitado" xfId="1015" builtinId="9" hidden="1"/>
    <cellStyle name="Hipervínculo visitado" xfId="1016" builtinId="9" hidden="1"/>
    <cellStyle name="Hipervínculo visitado" xfId="1017" builtinId="9" hidden="1"/>
    <cellStyle name="Hipervínculo visitado" xfId="1018" builtinId="9" hidden="1"/>
    <cellStyle name="Hipervínculo visitado" xfId="1019" builtinId="9" hidden="1"/>
    <cellStyle name="Hipervínculo visitado" xfId="1020" builtinId="9" hidden="1"/>
    <cellStyle name="Hipervínculo visitado" xfId="1021" builtinId="9" hidden="1"/>
    <cellStyle name="Hipervínculo visitado" xfId="1022" builtinId="9" hidden="1"/>
    <cellStyle name="Hipervínculo visitado" xfId="1023" builtinId="9" hidden="1"/>
    <cellStyle name="Hipervínculo visitado" xfId="1024" builtinId="9" hidden="1"/>
    <cellStyle name="Hipervínculo visitado" xfId="1025" builtinId="9" hidden="1"/>
    <cellStyle name="Hipervínculo visitado" xfId="1026" builtinId="9" hidden="1"/>
    <cellStyle name="Hipervínculo visitado" xfId="1027" builtinId="9" hidden="1"/>
    <cellStyle name="Hipervínculo visitado" xfId="1028" builtinId="9" hidden="1"/>
    <cellStyle name="Hipervínculo visitado" xfId="1029" builtinId="9" hidden="1"/>
    <cellStyle name="Hipervínculo visitado" xfId="1030" builtinId="9" hidden="1"/>
    <cellStyle name="Hipervínculo visitado" xfId="1031" builtinId="9" hidden="1"/>
    <cellStyle name="Hipervínculo visitado" xfId="1032" builtinId="9" hidden="1"/>
    <cellStyle name="Hipervínculo visitado" xfId="1033" builtinId="9" hidden="1"/>
    <cellStyle name="Hipervínculo visitado" xfId="1034" builtinId="9" hidden="1"/>
    <cellStyle name="Hipervínculo visitado" xfId="1035" builtinId="9" hidden="1"/>
    <cellStyle name="Hipervínculo visitado" xfId="1036" builtinId="9" hidden="1"/>
    <cellStyle name="Hipervínculo visitado" xfId="1037" builtinId="9" hidden="1"/>
    <cellStyle name="Hipervínculo visitado" xfId="1038" builtinId="9" hidden="1"/>
    <cellStyle name="Hipervínculo visitado" xfId="1039" builtinId="9" hidden="1"/>
    <cellStyle name="Hipervínculo visitado" xfId="1040" builtinId="9" hidden="1"/>
    <cellStyle name="Hipervínculo visitado" xfId="1041" builtinId="9" hidden="1"/>
    <cellStyle name="Hipervínculo visitado" xfId="1042" builtinId="9" hidden="1"/>
    <cellStyle name="Hipervínculo visitado" xfId="1043" builtinId="9" hidden="1"/>
    <cellStyle name="Hipervínculo visitado" xfId="1044" builtinId="9" hidden="1"/>
    <cellStyle name="Hipervínculo visitado" xfId="1045" builtinId="9" hidden="1"/>
    <cellStyle name="Hipervínculo visitado" xfId="1046" builtinId="9" hidden="1"/>
    <cellStyle name="Hipervínculo visitado" xfId="1047" builtinId="9" hidden="1"/>
    <cellStyle name="Hipervínculo visitado" xfId="1048" builtinId="9" hidden="1"/>
    <cellStyle name="Hipervínculo visitado" xfId="1049" builtinId="9" hidden="1"/>
    <cellStyle name="Hipervínculo visitado" xfId="1050" builtinId="9" hidden="1"/>
    <cellStyle name="Hipervínculo visitado" xfId="1051" builtinId="9" hidden="1"/>
    <cellStyle name="Hipervínculo visitado" xfId="1052" builtinId="9" hidden="1"/>
    <cellStyle name="Hipervínculo visitado" xfId="1053" builtinId="9" hidden="1"/>
    <cellStyle name="Hipervínculo visitado" xfId="1054" builtinId="9" hidden="1"/>
    <cellStyle name="Hipervínculo visitado" xfId="1055" builtinId="9" hidden="1"/>
    <cellStyle name="Hipervínculo visitado" xfId="1056" builtinId="9" hidden="1"/>
    <cellStyle name="Hipervínculo visitado" xfId="1057" builtinId="9" hidden="1"/>
    <cellStyle name="Hipervínculo visitado" xfId="1058" builtinId="9" hidden="1"/>
    <cellStyle name="Hipervínculo visitado" xfId="1059" builtinId="9" hidden="1"/>
    <cellStyle name="Hipervínculo visitado" xfId="1060" builtinId="9" hidden="1"/>
    <cellStyle name="Hipervínculo visitado" xfId="1061" builtinId="9" hidden="1"/>
    <cellStyle name="Hipervínculo visitado" xfId="1062" builtinId="9" hidden="1"/>
    <cellStyle name="Hipervínculo visitado" xfId="1063" builtinId="9" hidden="1"/>
    <cellStyle name="Hipervínculo visitado" xfId="1064" builtinId="9" hidden="1"/>
    <cellStyle name="Hipervínculo visitado" xfId="1065" builtinId="9" hidden="1"/>
    <cellStyle name="Hipervínculo visitado" xfId="1066" builtinId="9" hidden="1"/>
    <cellStyle name="Hipervínculo visitado" xfId="1067" builtinId="9" hidden="1"/>
    <cellStyle name="Hipervínculo visitado" xfId="1068" builtinId="9" hidden="1"/>
    <cellStyle name="Hipervínculo visitado" xfId="1069" builtinId="9" hidden="1"/>
    <cellStyle name="Hipervínculo visitado" xfId="1070" builtinId="9" hidden="1"/>
    <cellStyle name="Hipervínculo visitado" xfId="1071" builtinId="9" hidden="1"/>
    <cellStyle name="Hipervínculo visitado" xfId="1072" builtinId="9" hidden="1"/>
    <cellStyle name="Hipervínculo visitado" xfId="1073" builtinId="9" hidden="1"/>
    <cellStyle name="Hipervínculo visitado" xfId="1074" builtinId="9" hidden="1"/>
    <cellStyle name="Hipervínculo visitado" xfId="1075" builtinId="9" hidden="1"/>
    <cellStyle name="Hipervínculo visitado" xfId="1076" builtinId="9" hidden="1"/>
    <cellStyle name="Hipervínculo visitado" xfId="1077" builtinId="9" hidden="1"/>
    <cellStyle name="Hipervínculo visitado" xfId="1078" builtinId="9" hidden="1"/>
    <cellStyle name="Hipervínculo visitado" xfId="1079" builtinId="9" hidden="1"/>
    <cellStyle name="Hipervínculo visitado" xfId="1080" builtinId="9" hidden="1"/>
    <cellStyle name="Hipervínculo visitado" xfId="1081" builtinId="9" hidden="1"/>
    <cellStyle name="Hipervínculo visitado" xfId="1082" builtinId="9" hidden="1"/>
    <cellStyle name="Hipervínculo visitado" xfId="1083" builtinId="9" hidden="1"/>
    <cellStyle name="Hipervínculo visitado" xfId="1084" builtinId="9" hidden="1"/>
    <cellStyle name="Hipervínculo visitado" xfId="1085" builtinId="9" hidden="1"/>
    <cellStyle name="Hipervínculo visitado" xfId="1086" builtinId="9" hidden="1"/>
    <cellStyle name="Hipervínculo visitado" xfId="1087" builtinId="9" hidden="1"/>
    <cellStyle name="Hipervínculo visitado" xfId="1088" builtinId="9" hidden="1"/>
    <cellStyle name="Hipervínculo visitado" xfId="1089" builtinId="9" hidden="1"/>
    <cellStyle name="Hipervínculo visitado" xfId="1090" builtinId="9" hidden="1"/>
    <cellStyle name="Hipervínculo visitado" xfId="1091" builtinId="9" hidden="1"/>
    <cellStyle name="Hipervínculo visitado" xfId="1092" builtinId="9" hidden="1"/>
    <cellStyle name="Hipervínculo visitado" xfId="1093" builtinId="9" hidden="1"/>
    <cellStyle name="Hipervínculo visitado" xfId="1094" builtinId="9" hidden="1"/>
    <cellStyle name="Hipervínculo visitado" xfId="1095" builtinId="9" hidden="1"/>
    <cellStyle name="Hipervínculo visitado" xfId="1096" builtinId="9" hidden="1"/>
    <cellStyle name="Hipervínculo visitado" xfId="1097" builtinId="9" hidden="1"/>
    <cellStyle name="Hipervínculo visitado" xfId="1098" builtinId="9" hidden="1"/>
    <cellStyle name="Hipervínculo visitado" xfId="1099" builtinId="9" hidden="1"/>
    <cellStyle name="Hipervínculo visitado" xfId="1100" builtinId="9" hidden="1"/>
    <cellStyle name="Hipervínculo visitado" xfId="1101" builtinId="9" hidden="1"/>
    <cellStyle name="Hipervínculo visitado" xfId="1102" builtinId="9" hidden="1"/>
    <cellStyle name="Hipervínculo visitado" xfId="1103" builtinId="9" hidden="1"/>
    <cellStyle name="Hipervínculo visitado" xfId="1104" builtinId="9" hidden="1"/>
    <cellStyle name="Hipervínculo visitado" xfId="1105" builtinId="9" hidden="1"/>
    <cellStyle name="Hipervínculo visitado" xfId="1106" builtinId="9" hidden="1"/>
    <cellStyle name="Hipervínculo visitado" xfId="1107" builtinId="9" hidden="1"/>
    <cellStyle name="Hipervínculo visitado" xfId="1108" builtinId="9" hidden="1"/>
    <cellStyle name="Hipervínculo visitado" xfId="1109" builtinId="9" hidden="1"/>
    <cellStyle name="Hipervínculo visitado" xfId="1110" builtinId="9" hidden="1"/>
    <cellStyle name="Hipervínculo visitado" xfId="1111" builtinId="9" hidden="1"/>
    <cellStyle name="Hipervínculo visitado" xfId="1112" builtinId="9" hidden="1"/>
    <cellStyle name="Hipervínculo visitado" xfId="1113" builtinId="9" hidden="1"/>
    <cellStyle name="Hipervínculo visitado" xfId="1114" builtinId="9" hidden="1"/>
    <cellStyle name="Hipervínculo visitado" xfId="1115" builtinId="9" hidden="1"/>
    <cellStyle name="Hipervínculo visitado" xfId="1116" builtinId="9" hidden="1"/>
    <cellStyle name="Hipervínculo visitado" xfId="1117" builtinId="9" hidden="1"/>
    <cellStyle name="Hipervínculo visitado" xfId="1118" builtinId="9" hidden="1"/>
    <cellStyle name="Hipervínculo visitado" xfId="1119" builtinId="9" hidden="1"/>
    <cellStyle name="Hipervínculo visitado" xfId="1120" builtinId="9" hidden="1"/>
    <cellStyle name="Hipervínculo visitado" xfId="1121" builtinId="9" hidden="1"/>
    <cellStyle name="Hipervínculo visitado" xfId="1122" builtinId="9" hidden="1"/>
    <cellStyle name="Hipervínculo visitado" xfId="1123" builtinId="9" hidden="1"/>
    <cellStyle name="Hipervínculo visitado" xfId="1124" builtinId="9" hidden="1"/>
    <cellStyle name="Hipervínculo visitado" xfId="1125" builtinId="9" hidden="1"/>
    <cellStyle name="Hipervínculo visitado" xfId="1126" builtinId="9" hidden="1"/>
    <cellStyle name="Hipervínculo visitado" xfId="1127" builtinId="9" hidden="1"/>
    <cellStyle name="Hipervínculo visitado" xfId="1128" builtinId="9" hidden="1"/>
    <cellStyle name="Hipervínculo visitado" xfId="1129" builtinId="9" hidden="1"/>
    <cellStyle name="Hipervínculo visitado" xfId="1130" builtinId="9" hidden="1"/>
    <cellStyle name="Hipervínculo visitado" xfId="1131" builtinId="9" hidden="1"/>
    <cellStyle name="Hipervínculo visitado" xfId="1132" builtinId="9" hidden="1"/>
    <cellStyle name="Hipervínculo visitado" xfId="1133" builtinId="9" hidden="1"/>
    <cellStyle name="Hipervínculo visitado" xfId="1134" builtinId="9" hidden="1"/>
    <cellStyle name="Hipervínculo visitado" xfId="1135" builtinId="9" hidden="1"/>
    <cellStyle name="Hipervínculo visitado" xfId="1136" builtinId="9" hidden="1"/>
    <cellStyle name="Hipervínculo visitado" xfId="1137" builtinId="9" hidden="1"/>
    <cellStyle name="Hipervínculo visitado" xfId="1138" builtinId="9" hidden="1"/>
    <cellStyle name="Hipervínculo visitado" xfId="1139" builtinId="9" hidden="1"/>
    <cellStyle name="Hipervínculo visitado" xfId="1140" builtinId="9" hidden="1"/>
    <cellStyle name="Hipervínculo visitado" xfId="1141" builtinId="9" hidden="1"/>
    <cellStyle name="Hipervínculo visitado" xfId="1142" builtinId="9" hidden="1"/>
    <cellStyle name="Hipervínculo visitado" xfId="1143" builtinId="9" hidden="1"/>
    <cellStyle name="Hipervínculo visitado" xfId="1144" builtinId="9" hidden="1"/>
    <cellStyle name="Hipervínculo visitado" xfId="1145" builtinId="9" hidden="1"/>
    <cellStyle name="Hipervínculo visitado" xfId="1146" builtinId="9" hidden="1"/>
    <cellStyle name="Hipervínculo visitado" xfId="1147" builtinId="9" hidden="1"/>
    <cellStyle name="Hipervínculo visitado" xfId="1151" builtinId="9" hidden="1"/>
    <cellStyle name="Hipervínculo visitado" xfId="1152" builtinId="9" hidden="1"/>
    <cellStyle name="Hipervínculo visitado" xfId="1153" builtinId="9" hidden="1"/>
    <cellStyle name="Hipervínculo visitado" xfId="1154" builtinId="9" hidden="1"/>
    <cellStyle name="Hipervínculo visitado" xfId="1155" builtinId="9" hidden="1"/>
    <cellStyle name="Hipervínculo visitado" xfId="1156" builtinId="9" hidden="1"/>
    <cellStyle name="Hipervínculo visitado" xfId="1157" builtinId="9" hidden="1"/>
    <cellStyle name="Hipervínculo visitado" xfId="1158" builtinId="9" hidden="1"/>
    <cellStyle name="Hipervínculo visitado" xfId="1159" builtinId="9" hidden="1"/>
    <cellStyle name="Hipervínculo visitado" xfId="1160" builtinId="9" hidden="1"/>
    <cellStyle name="Hipervínculo visitado" xfId="1161" builtinId="9" hidden="1"/>
    <cellStyle name="Hipervínculo visitado" xfId="1162" builtinId="9" hidden="1"/>
    <cellStyle name="Millares" xfId="1150" builtinId="3"/>
    <cellStyle name="Millares 2" xfId="1165"/>
    <cellStyle name="Moneda" xfId="1149" builtinId="4"/>
    <cellStyle name="Moneda 2" xfId="1163"/>
    <cellStyle name="Normal" xfId="0" builtinId="0"/>
    <cellStyle name="Normal 2" xfId="55"/>
    <cellStyle name="Normal 3" xfId="1164"/>
    <cellStyle name="Porcentaje" xfId="1148" builtinId="5"/>
  </cellStyles>
  <dxfs count="0"/>
  <tableStyles count="0" defaultTableStyle="TableStyleMedium9" defaultPivotStyle="PivotStyleMedium4"/>
  <colors>
    <mruColors>
      <color rgb="FF0432FF"/>
      <color rgb="FFFF2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2.xml"/><Relationship Id="rId18" Type="http://schemas.openxmlformats.org/officeDocument/2006/relationships/worksheet" Target="worksheets/sheet16.xml"/><Relationship Id="rId26" Type="http://schemas.openxmlformats.org/officeDocument/2006/relationships/worksheet" Target="worksheets/sheet24.xml"/><Relationship Id="rId39" Type="http://schemas.openxmlformats.org/officeDocument/2006/relationships/worksheet" Target="worksheets/sheet37.xml"/><Relationship Id="rId21" Type="http://schemas.openxmlformats.org/officeDocument/2006/relationships/worksheet" Target="worksheets/sheet19.xml"/><Relationship Id="rId34" Type="http://schemas.openxmlformats.org/officeDocument/2006/relationships/worksheet" Target="worksheets/sheet32.xml"/><Relationship Id="rId42" Type="http://schemas.openxmlformats.org/officeDocument/2006/relationships/worksheet" Target="worksheets/sheet40.xml"/><Relationship Id="rId47" Type="http://schemas.openxmlformats.org/officeDocument/2006/relationships/worksheet" Target="worksheets/sheet45.xml"/><Relationship Id="rId50" Type="http://schemas.openxmlformats.org/officeDocument/2006/relationships/worksheet" Target="worksheets/sheet48.xml"/><Relationship Id="rId55" Type="http://schemas.openxmlformats.org/officeDocument/2006/relationships/worksheet" Target="worksheets/sheet53.xml"/><Relationship Id="rId63" Type="http://schemas.openxmlformats.org/officeDocument/2006/relationships/worksheet" Target="worksheets/sheet61.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4.xml"/><Relationship Id="rId29" Type="http://schemas.openxmlformats.org/officeDocument/2006/relationships/worksheet" Target="worksheets/sheet2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worksheet" Target="worksheets/sheet22.xml"/><Relationship Id="rId32" Type="http://schemas.openxmlformats.org/officeDocument/2006/relationships/worksheet" Target="worksheets/sheet30.xml"/><Relationship Id="rId37" Type="http://schemas.openxmlformats.org/officeDocument/2006/relationships/worksheet" Target="worksheets/sheet35.xml"/><Relationship Id="rId40" Type="http://schemas.openxmlformats.org/officeDocument/2006/relationships/worksheet" Target="worksheets/sheet38.xml"/><Relationship Id="rId45" Type="http://schemas.openxmlformats.org/officeDocument/2006/relationships/worksheet" Target="worksheets/sheet43.xml"/><Relationship Id="rId53" Type="http://schemas.openxmlformats.org/officeDocument/2006/relationships/worksheet" Target="worksheets/sheet51.xml"/><Relationship Id="rId58" Type="http://schemas.openxmlformats.org/officeDocument/2006/relationships/worksheet" Target="worksheets/sheet56.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worksheet" Target="worksheets/sheet21.xml"/><Relationship Id="rId28" Type="http://schemas.openxmlformats.org/officeDocument/2006/relationships/worksheet" Target="worksheets/sheet26.xml"/><Relationship Id="rId36" Type="http://schemas.openxmlformats.org/officeDocument/2006/relationships/worksheet" Target="worksheets/sheet34.xml"/><Relationship Id="rId49" Type="http://schemas.openxmlformats.org/officeDocument/2006/relationships/worksheet" Target="worksheets/sheet47.xml"/><Relationship Id="rId57" Type="http://schemas.openxmlformats.org/officeDocument/2006/relationships/worksheet" Target="worksheets/sheet55.xml"/><Relationship Id="rId61" Type="http://schemas.openxmlformats.org/officeDocument/2006/relationships/worksheet" Target="worksheets/sheet59.xml"/><Relationship Id="rId10" Type="http://schemas.openxmlformats.org/officeDocument/2006/relationships/chartsheet" Target="chartsheets/sheet1.xml"/><Relationship Id="rId19" Type="http://schemas.openxmlformats.org/officeDocument/2006/relationships/worksheet" Target="worksheets/sheet17.xml"/><Relationship Id="rId31" Type="http://schemas.openxmlformats.org/officeDocument/2006/relationships/worksheet" Target="worksheets/sheet29.xml"/><Relationship Id="rId44" Type="http://schemas.openxmlformats.org/officeDocument/2006/relationships/worksheet" Target="worksheets/sheet42.xml"/><Relationship Id="rId52" Type="http://schemas.openxmlformats.org/officeDocument/2006/relationships/worksheet" Target="worksheets/sheet50.xml"/><Relationship Id="rId60" Type="http://schemas.openxmlformats.org/officeDocument/2006/relationships/worksheet" Target="worksheets/sheet58.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 Id="rId22" Type="http://schemas.openxmlformats.org/officeDocument/2006/relationships/worksheet" Target="worksheets/sheet20.xml"/><Relationship Id="rId27" Type="http://schemas.openxmlformats.org/officeDocument/2006/relationships/worksheet" Target="worksheets/sheet25.xml"/><Relationship Id="rId30" Type="http://schemas.openxmlformats.org/officeDocument/2006/relationships/worksheet" Target="worksheets/sheet28.xml"/><Relationship Id="rId35" Type="http://schemas.openxmlformats.org/officeDocument/2006/relationships/worksheet" Target="worksheets/sheet33.xml"/><Relationship Id="rId43" Type="http://schemas.openxmlformats.org/officeDocument/2006/relationships/worksheet" Target="worksheets/sheet41.xml"/><Relationship Id="rId48" Type="http://schemas.openxmlformats.org/officeDocument/2006/relationships/worksheet" Target="worksheets/sheet46.xml"/><Relationship Id="rId56" Type="http://schemas.openxmlformats.org/officeDocument/2006/relationships/worksheet" Target="worksheets/sheet54.xml"/><Relationship Id="rId64" Type="http://schemas.openxmlformats.org/officeDocument/2006/relationships/worksheet" Target="worksheets/sheet62.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49.xml"/><Relationship Id="rId3" Type="http://schemas.openxmlformats.org/officeDocument/2006/relationships/worksheet" Target="worksheets/sheet3.xml"/><Relationship Id="rId12" Type="http://schemas.openxmlformats.org/officeDocument/2006/relationships/worksheet" Target="worksheets/sheet11.xml"/><Relationship Id="rId17" Type="http://schemas.openxmlformats.org/officeDocument/2006/relationships/worksheet" Target="worksheets/sheet15.xml"/><Relationship Id="rId25" Type="http://schemas.openxmlformats.org/officeDocument/2006/relationships/worksheet" Target="worksheets/sheet23.xml"/><Relationship Id="rId33" Type="http://schemas.openxmlformats.org/officeDocument/2006/relationships/worksheet" Target="worksheets/sheet31.xml"/><Relationship Id="rId38" Type="http://schemas.openxmlformats.org/officeDocument/2006/relationships/worksheet" Target="worksheets/sheet36.xml"/><Relationship Id="rId46" Type="http://schemas.openxmlformats.org/officeDocument/2006/relationships/worksheet" Target="worksheets/sheet44.xml"/><Relationship Id="rId59" Type="http://schemas.openxmlformats.org/officeDocument/2006/relationships/worksheet" Target="worksheets/sheet57.xml"/><Relationship Id="rId67" Type="http://schemas.openxmlformats.org/officeDocument/2006/relationships/styles" Target="styles.xml"/><Relationship Id="rId20" Type="http://schemas.openxmlformats.org/officeDocument/2006/relationships/worksheet" Target="worksheets/sheet18.xml"/><Relationship Id="rId41" Type="http://schemas.openxmlformats.org/officeDocument/2006/relationships/worksheet" Target="worksheets/sheet39.xml"/><Relationship Id="rId54" Type="http://schemas.openxmlformats.org/officeDocument/2006/relationships/worksheet" Target="worksheets/sheet52.xml"/><Relationship Id="rId62" Type="http://schemas.openxmlformats.org/officeDocument/2006/relationships/worksheet" Target="worksheets/sheet6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Patent</a:t>
            </a:r>
            <a:r>
              <a:rPr lang="en-US" baseline="0"/>
              <a:t> Royalties as % of Value of Mobile </a:t>
            </a:r>
          </a:p>
          <a:p>
            <a:pPr>
              <a:defRPr/>
            </a:pPr>
            <a:r>
              <a:rPr lang="en-US" baseline="0"/>
              <a:t>(Smart and Feature) Phones Shipped, 2007-2016</a:t>
            </a:r>
          </a:p>
        </c:rich>
      </c:tx>
      <c:layout/>
      <c:overlay val="0"/>
    </c:title>
    <c:autoTitleDeleted val="0"/>
    <c:plotArea>
      <c:layout/>
      <c:barChart>
        <c:barDir val="col"/>
        <c:grouping val="clustered"/>
        <c:varyColors val="0"/>
        <c:ser>
          <c:idx val="0"/>
          <c:order val="0"/>
          <c:tx>
            <c:strRef>
              <c:f>'1.4 Royalty Yield Series'!$G$9</c:f>
              <c:strCache>
                <c:ptCount val="1"/>
                <c:pt idx="0">
                  <c:v>Total, Firms Covered Since 2007 as % Mobile Phone Revenues</c:v>
                </c:pt>
              </c:strCache>
            </c:strRef>
          </c:tx>
          <c:invertIfNegative val="0"/>
          <c:cat>
            <c:numRef>
              <c:f>'1.4 Royalty Yield Series'!$B$10:$B$19</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'1.4 Royalty Yield Series'!$G$10:$G$19</c:f>
              <c:numCache>
                <c:formatCode>#,#00%</c:formatCode>
                <c:ptCount val="10"/>
                <c:pt idx="0">
                  <c:v>2.1436568266932798E-2</c:v>
                </c:pt>
                <c:pt idx="1">
                  <c:v>2.4450165867253442E-2</c:v>
                </c:pt>
                <c:pt idx="2">
                  <c:v>2.6939603331174386E-2</c:v>
                </c:pt>
                <c:pt idx="3">
                  <c:v>2.4806581597509609E-2</c:v>
                </c:pt>
                <c:pt idx="4">
                  <c:v>2.8515102026831347E-2</c:v>
                </c:pt>
                <c:pt idx="5">
                  <c:v>2.9459801912276054E-2</c:v>
                </c:pt>
                <c:pt idx="6">
                  <c:v>2.7855161255462373E-2</c:v>
                </c:pt>
                <c:pt idx="7">
                  <c:v>2.5402309136491E-2</c:v>
                </c:pt>
                <c:pt idx="8">
                  <c:v>2.5931966879370463E-2</c:v>
                </c:pt>
                <c:pt idx="9">
                  <c:v>2.6104716246023452E-2</c:v>
                </c:pt>
              </c:numCache>
            </c:numRef>
          </c:val>
        </c:ser>
        <c:ser>
          <c:idx val="1"/>
          <c:order val="1"/>
          <c:tx>
            <c:strRef>
              <c:f>'1.4 Royalty Yield Series'!$H$9</c:f>
              <c:strCache>
                <c:ptCount val="1"/>
                <c:pt idx="0">
                  <c:v>Total, Firms Covered Since 2009 as % Mobile Phone Revenues</c:v>
                </c:pt>
              </c:strCache>
            </c:strRef>
          </c:tx>
          <c:invertIfNegative val="0"/>
          <c:cat>
            <c:numRef>
              <c:f>'1.4 Royalty Yield Series'!$B$10:$B$19</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'1.4 Royalty Yield Series'!$H$10:$H$19</c:f>
              <c:numCache>
                <c:formatCode>General</c:formatCode>
                <c:ptCount val="10"/>
                <c:pt idx="2" formatCode="#,#00%">
                  <c:v>3.1316140176110951E-2</c:v>
                </c:pt>
                <c:pt idx="3" formatCode="#,#00%">
                  <c:v>2.8412492046325771E-2</c:v>
                </c:pt>
                <c:pt idx="4" formatCode="#,#00%">
                  <c:v>3.4185640666759859E-2</c:v>
                </c:pt>
                <c:pt idx="5" formatCode="#,#00%">
                  <c:v>3.3464078776601264E-2</c:v>
                </c:pt>
                <c:pt idx="6" formatCode="#,#00%">
                  <c:v>3.4545492426767528E-2</c:v>
                </c:pt>
                <c:pt idx="7" formatCode="#,#00%">
                  <c:v>3.3828498614655117E-2</c:v>
                </c:pt>
                <c:pt idx="8" formatCode="#,#00%">
                  <c:v>3.1270145227360775E-2</c:v>
                </c:pt>
                <c:pt idx="9" formatCode="#,#00%">
                  <c:v>3.0880450661455113E-2</c:v>
                </c:pt>
              </c:numCache>
            </c:numRef>
          </c:val>
        </c:ser>
        <c:dLbls>
          <c:showLegendKey val="0"/>
          <c:showVal val="0"/>
          <c:showCatName val="0"/>
          <c:showSerName val="0"/>
          <c:showPercent val="0"/>
          <c:showBubbleSize val="0"/>
        </c:dLbls>
        <c:gapWidth val="150"/>
        <c:axId val="111706112"/>
        <c:axId val="111707648"/>
      </c:barChart>
      <c:catAx>
        <c:axId val="111706112"/>
        <c:scaling>
          <c:orientation val="minMax"/>
        </c:scaling>
        <c:delete val="0"/>
        <c:axPos val="b"/>
        <c:numFmt formatCode="General" sourceLinked="1"/>
        <c:majorTickMark val="none"/>
        <c:minorTickMark val="none"/>
        <c:tickLblPos val="nextTo"/>
        <c:crossAx val="111707648"/>
        <c:crosses val="autoZero"/>
        <c:auto val="1"/>
        <c:lblAlgn val="ctr"/>
        <c:lblOffset val="100"/>
        <c:noMultiLvlLbl val="0"/>
      </c:catAx>
      <c:valAx>
        <c:axId val="111707648"/>
        <c:scaling>
          <c:orientation val="minMax"/>
          <c:max val="3.5000000000000003E-2"/>
        </c:scaling>
        <c:delete val="0"/>
        <c:axPos val="l"/>
        <c:majorGridlines>
          <c:spPr>
            <a:ln>
              <a:noFill/>
            </a:ln>
          </c:spPr>
        </c:majorGridlines>
        <c:numFmt formatCode="0.0%" sourceLinked="0"/>
        <c:majorTickMark val="none"/>
        <c:minorTickMark val="none"/>
        <c:tickLblPos val="nextTo"/>
        <c:crossAx val="111706112"/>
        <c:crosses val="autoZero"/>
        <c:crossBetween val="between"/>
      </c:valAx>
    </c:plotArea>
    <c:legend>
      <c:legendPos val="t"/>
      <c:layout/>
      <c:overlay val="0"/>
    </c:legend>
    <c:plotVisOnly val="1"/>
    <c:dispBlanksAs val="gap"/>
    <c:showDLblsOverMax val="0"/>
  </c:chart>
  <c:spPr>
    <a:ln>
      <a:noFill/>
    </a:ln>
  </c:sp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800" b="1" i="0" u="none" strike="noStrike" kern="1200" baseline="0">
                <a:solidFill>
                  <a:schemeClr val="tx1"/>
                </a:solidFill>
                <a:latin typeface="+mn-lt"/>
                <a:ea typeface="+mn-ea"/>
                <a:cs typeface="+mn-cs"/>
              </a:defRPr>
            </a:pPr>
            <a:r>
              <a:rPr lang="en-US" sz="1400" b="1" i="0" baseline="0">
                <a:effectLst/>
              </a:rPr>
              <a:t>Breakdown of the average selling wholesale price of a mobile phone (in 2016)</a:t>
            </a:r>
            <a:endParaRPr lang="es-CL" sz="1400">
              <a:effectLst/>
            </a:endParaRPr>
          </a:p>
        </c:rich>
      </c:tx>
      <c:layout/>
      <c:overlay val="0"/>
      <c:spPr>
        <a:noFill/>
        <a:ln>
          <a:noFill/>
        </a:ln>
        <a:effectLst/>
      </c:spPr>
    </c:title>
    <c:autoTitleDeleted val="0"/>
    <c:plotArea>
      <c:layout/>
      <c:pieChart>
        <c:varyColors val="1"/>
        <c:ser>
          <c:idx val="0"/>
          <c:order val="0"/>
          <c:dPt>
            <c:idx val="0"/>
            <c:bubble3D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c:spPr>
          </c:dPt>
          <c:dPt>
            <c:idx val="1"/>
            <c:bubble3D val="0"/>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noFill/>
              </a:ln>
              <a:effectLst>
                <a:outerShdw blurRad="40000" dist="23000" dir="5400000" rotWithShape="0">
                  <a:srgbClr val="000000">
                    <a:alpha val="35000"/>
                  </a:srgbClr>
                </a:outerShdw>
              </a:effectLst>
            </c:spPr>
          </c:dPt>
          <c:dPt>
            <c:idx val="2"/>
            <c:bubble3D val="0"/>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noFill/>
              </a:ln>
              <a:effectLst>
                <a:outerShdw blurRad="40000" dist="23000" dir="5400000" rotWithShape="0">
                  <a:srgbClr val="000000">
                    <a:alpha val="35000"/>
                  </a:srgbClr>
                </a:outerShdw>
              </a:effectLst>
            </c:spPr>
          </c:dPt>
          <c:dPt>
            <c:idx val="3"/>
            <c:bubble3D val="0"/>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noFill/>
              </a:ln>
              <a:effectLst>
                <a:outerShdw blurRad="40000" dist="23000" dir="5400000" rotWithShape="0">
                  <a:srgbClr val="000000">
                    <a:alpha val="35000"/>
                  </a:srgbClr>
                </a:outerShdw>
              </a:effectLst>
            </c:spPr>
          </c:dPt>
          <c:dPt>
            <c:idx val="4"/>
            <c:bubble3D val="0"/>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noFill/>
              </a:ln>
              <a:effectLst>
                <a:outerShdw blurRad="40000" dist="23000" dir="5400000" rotWithShape="0">
                  <a:srgbClr val="000000">
                    <a:alpha val="35000"/>
                  </a:srgbClr>
                </a:outerShdw>
              </a:effectLst>
            </c:spPr>
          </c:dPt>
          <c:dLbls>
            <c:dLbl>
              <c:idx val="0"/>
              <c:layout/>
              <c:tx>
                <c:rich>
                  <a:bodyPr/>
                  <a:lstStyle/>
                  <a:p>
                    <a:r>
                      <a:rPr lang="en-US"/>
                      <a:t>Royalties
3.3%</a:t>
                    </a:r>
                  </a:p>
                </c:rich>
              </c:tx>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3.9238817123322597E-2"/>
                  <c:y val="4.0171301902698499E-2"/>
                </c:manualLayout>
              </c:layout>
              <c:tx>
                <c:rich>
                  <a:bodyPr/>
                  <a:lstStyle/>
                  <a:p>
                    <a:r>
                      <a:rPr lang="en-US"/>
                      <a:t>Baseband </a:t>
                    </a:r>
                  </a:p>
                  <a:p>
                    <a:r>
                      <a:rPr lang="en-US"/>
                      <a:t>processor cost
5.1%</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60101569811851"/>
                  <c:y val="7.0650965079208206E-2"/>
                </c:manualLayout>
              </c:layout>
              <c:tx>
                <c:rich>
                  <a:bodyPr/>
                  <a:lstStyle/>
                  <a:p>
                    <a:r>
                      <a:rPr lang="en-US"/>
                      <a:t>Other </a:t>
                    </a:r>
                  </a:p>
                  <a:p>
                    <a:r>
                      <a:rPr lang="en-US"/>
                      <a:t>semiconductor </a:t>
                    </a:r>
                  </a:p>
                  <a:p>
                    <a:r>
                      <a:rPr lang="en-US"/>
                      <a:t>costs
20.0%</a:t>
                    </a:r>
                  </a:p>
                </c:rich>
              </c:tx>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2758426375370099"/>
                  <c:y val="-0.14052361279303199"/>
                </c:manualLayout>
              </c:layout>
              <c:tx>
                <c:rich>
                  <a:bodyPr/>
                  <a:lstStyle/>
                  <a:p>
                    <a:r>
                      <a:rPr lang="en-US"/>
                      <a:t>Other costs
59.8%</a:t>
                    </a:r>
                  </a:p>
                </c:rich>
              </c:tx>
              <c:showLegendKey val="0"/>
              <c:showVal val="0"/>
              <c:showCatName val="1"/>
              <c:showSerName val="0"/>
              <c:showPercent val="1"/>
              <c:showBubbleSize val="0"/>
              <c:extLst>
                <c:ext xmlns:c15="http://schemas.microsoft.com/office/drawing/2012/chart" uri="{CE6537A1-D6FC-4f65-9D91-7224C49458BB}">
                  <c15:layout/>
                </c:ext>
              </c:extLst>
            </c:dLbl>
            <c:dLbl>
              <c:idx val="4"/>
              <c:layout/>
              <c:tx>
                <c:rich>
                  <a:bodyPr/>
                  <a:lstStyle/>
                  <a:p>
                    <a:r>
                      <a:rPr lang="en-US"/>
                      <a:t>Manufacturer's operating profits
11.8%</a:t>
                    </a:r>
                  </a:p>
                </c:rich>
              </c:tx>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CL"/>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'1.5.2 Economic Summary 2016'!$B$9:$B$13</c:f>
              <c:strCache>
                <c:ptCount val="5"/>
                <c:pt idx="0">
                  <c:v>Royalties</c:v>
                </c:pt>
                <c:pt idx="1">
                  <c:v>Baseband processor cost</c:v>
                </c:pt>
                <c:pt idx="2">
                  <c:v>Other semiconductor costs</c:v>
                </c:pt>
                <c:pt idx="3">
                  <c:v>Other costs</c:v>
                </c:pt>
                <c:pt idx="4">
                  <c:v>Manufacturer's operating profits</c:v>
                </c:pt>
              </c:strCache>
            </c:strRef>
          </c:cat>
          <c:val>
            <c:numRef>
              <c:f>'1.5.2 Economic Summary 2016'!$C$9:$C$13</c:f>
              <c:numCache>
                <c:formatCode>_("$"* #.##0_);_("$"* \(#.##0\);_("$"* "-"??_);_(@_)</c:formatCode>
                <c:ptCount val="5"/>
                <c:pt idx="0">
                  <c:v>14191.623148251152</c:v>
                </c:pt>
                <c:pt idx="1">
                  <c:v>21807.207999999999</c:v>
                </c:pt>
                <c:pt idx="2">
                  <c:v>84977.792000000001</c:v>
                </c:pt>
                <c:pt idx="3">
                  <c:v>254133.37685174885</c:v>
                </c:pt>
                <c:pt idx="4">
                  <c:v>49990</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C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11" workbookViewId="0" zoomToFit="1"/>
  </sheetViews>
  <pageMargins left="0.75" right="0.75" top="1" bottom="1" header="0.5" footer="0.5"/>
  <pageSetup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111" workbookViewId="0" zoomToFit="1"/>
  </sheetViews>
  <pageMargins left="0.75" right="0.75" top="1" bottom="1" header="0.5" footer="0.5"/>
  <pageSetup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0" y="0"/>
    <xdr:ext cx="8567351" cy="582140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304800</xdr:colOff>
      <xdr:row>18</xdr:row>
      <xdr:rowOff>101600</xdr:rowOff>
    </xdr:to>
    <xdr:sp macro="" textlink="">
      <xdr:nvSpPr>
        <xdr:cNvPr id="45057" name="AutoShape 1"/>
        <xdr:cNvSpPr>
          <a:spLocks noChangeAspect="1" noChangeArrowheads="1"/>
        </xdr:cNvSpPr>
      </xdr:nvSpPr>
      <xdr:spPr bwMode="auto">
        <a:xfrm>
          <a:off x="0" y="4102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863600</xdr:colOff>
      <xdr:row>33</xdr:row>
      <xdr:rowOff>152400</xdr:rowOff>
    </xdr:from>
    <xdr:to>
      <xdr:col>5</xdr:col>
      <xdr:colOff>220980</xdr:colOff>
      <xdr:row>54</xdr:row>
      <xdr:rowOff>139164</xdr:rowOff>
    </xdr:to>
    <xdr:pic>
      <xdr:nvPicPr>
        <xdr:cNvPr id="2" name="Picture 1"/>
        <xdr:cNvPicPr>
          <a:picLocks noChangeAspect="1"/>
        </xdr:cNvPicPr>
      </xdr:nvPicPr>
      <xdr:blipFill>
        <a:blip xmlns:r="http://schemas.openxmlformats.org/officeDocument/2006/relationships" r:embed="rId1"/>
        <a:stretch>
          <a:fillRect/>
        </a:stretch>
      </xdr:blipFill>
      <xdr:spPr>
        <a:xfrm>
          <a:off x="863600" y="7505700"/>
          <a:ext cx="6565900" cy="4253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567351" cy="582140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17</xdr:row>
      <xdr:rowOff>114300</xdr:rowOff>
    </xdr:from>
    <xdr:to>
      <xdr:col>0</xdr:col>
      <xdr:colOff>5448300</xdr:colOff>
      <xdr:row>25</xdr:row>
      <xdr:rowOff>139700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54000" y="5638800"/>
          <a:ext cx="5194300" cy="1651000"/>
        </a:xfrm>
        <a:prstGeom prst="rect">
          <a:avLst/>
        </a:prstGeom>
      </xdr:spPr>
    </xdr:pic>
    <xdr:clientData/>
  </xdr:twoCellAnchor>
  <xdr:twoCellAnchor editAs="oneCell">
    <xdr:from>
      <xdr:col>0</xdr:col>
      <xdr:colOff>304800</xdr:colOff>
      <xdr:row>30</xdr:row>
      <xdr:rowOff>12700</xdr:rowOff>
    </xdr:from>
    <xdr:to>
      <xdr:col>0</xdr:col>
      <xdr:colOff>5448300</xdr:colOff>
      <xdr:row>38</xdr:row>
      <xdr:rowOff>50800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04800" y="8788400"/>
          <a:ext cx="5143500" cy="1663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ppData/Local/Microsoft/Windows/Temporary%20Internet%20Files/Content.Outlook/35K4W7UK/Mobile%20Phone%20Dataset%20Sept%2025%202016_GH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Citation Info"/>
      <sheetName val="Table of Contents"/>
      <sheetName val="1.0 Overview-&gt;"/>
      <sheetName val="1.1 Intro "/>
      <sheetName val="1.2 Contact"/>
      <sheetName val="1.3 Royalty Yield Summary 2015"/>
      <sheetName val="1.4 Royalty Yield Series"/>
      <sheetName val="1.4.1 Fig-Royalty Yield Series"/>
      <sheetName val="1.5 Economic Summary 2015"/>
      <sheetName val="1.5.1 Fig-Economic Summary 2015"/>
      <sheetName val="1.5.1 Fig-Economic Summary  (2)"/>
      <sheetName val="1.6 Sensitivity"/>
      <sheetName val="1.7 Revenues by Licensor"/>
      <sheetName val="1.8 Device Sales"/>
      <sheetName val="1.9 OEM Sales"/>
      <sheetName val="2.0 Leaders-&gt;"/>
      <sheetName val="2.1 Qualcomm"/>
      <sheetName val="2.2 Ericsson"/>
      <sheetName val="2.3 Nokia"/>
      <sheetName val="2.3.1 Alcatel-Lucent (Nokia)"/>
      <sheetName val="2.4 Interdigital"/>
      <sheetName val="2.5 Microsoft"/>
      <sheetName val="3.0 Other Public-&gt;"/>
      <sheetName val="3.1 Philips"/>
      <sheetName val="3.2 ATT 802.11"/>
      <sheetName val="3.3 ATT MPEG4"/>
      <sheetName val="3.4 Broadcom"/>
      <sheetName val="3.5 Tessera"/>
      <sheetName val="3.6 Rambus"/>
      <sheetName val="3.7 Acacia Technologies"/>
      <sheetName val="3.8 WiLAN"/>
      <sheetName val="3.9 Parkervision"/>
      <sheetName val="3.10 Unwired Planet"/>
      <sheetName val="3.11 VirnetX"/>
      <sheetName val="3.12 Marathon Patent Group"/>
      <sheetName val="4.0 Pools-&gt;"/>
      <sheetName val="4.1 Via Licensing AAC"/>
      <sheetName val="4.2 Via Licensing LTE"/>
      <sheetName val="4.3 MPEGLA MPEG4"/>
      <sheetName val="4.4 MPEGLA AVC H.264"/>
      <sheetName val="4.5 SISVEL LTE"/>
      <sheetName val="4.6 SISVEL Wifi"/>
      <sheetName val="4.7 SIPROLab WCDMA"/>
      <sheetName val="4.8 Vectis WiFi"/>
      <sheetName val="5.0 Other Private-&gt;"/>
      <sheetName val="5.1 SISVEL Wireless"/>
      <sheetName val="5.2 IP Com"/>
      <sheetName val="5.3 PanOptis-Optis"/>
      <sheetName val="5.4 IP Bridge"/>
      <sheetName val="5.5 Intellectual Ventures"/>
      <sheetName val="5.6 Huawei"/>
      <sheetName val="6.0 Others"/>
      <sheetName val="7.0 Closing"/>
    </sheetNames>
    <sheetDataSet>
      <sheetData sheetId="0" refreshError="1"/>
      <sheetData sheetId="1" refreshError="1"/>
      <sheetData sheetId="2">
        <row r="9">
          <cell r="B9" t="str">
            <v>Introduction</v>
          </cell>
          <cell r="E9">
            <v>1.1000000000000001</v>
          </cell>
        </row>
        <row r="10">
          <cell r="B10" t="str">
            <v>Contact Information</v>
          </cell>
          <cell r="E10">
            <v>1.2</v>
          </cell>
        </row>
        <row r="11">
          <cell r="B11" t="str">
            <v>Royalty Yield Summary 2015</v>
          </cell>
          <cell r="E11">
            <v>1.3</v>
          </cell>
        </row>
        <row r="12">
          <cell r="B12" t="str">
            <v>Royalty Yield Series</v>
          </cell>
          <cell r="E12">
            <v>1.4</v>
          </cell>
        </row>
        <row r="13">
          <cell r="B13" t="str">
            <v>Fig: Royalty Yield Series</v>
          </cell>
          <cell r="E13" t="str">
            <v>1.4.1</v>
          </cell>
        </row>
        <row r="14">
          <cell r="B14" t="str">
            <v>Economic Summary 2015</v>
          </cell>
          <cell r="E14">
            <v>1.5</v>
          </cell>
        </row>
        <row r="15">
          <cell r="B15" t="str">
            <v>Fig- Economic Summary 2015</v>
          </cell>
          <cell r="E15" t="str">
            <v>1.5.1</v>
          </cell>
        </row>
        <row r="16">
          <cell r="B16" t="str">
            <v>Sensitivity</v>
          </cell>
          <cell r="E16">
            <v>1.6</v>
          </cell>
        </row>
        <row r="17">
          <cell r="B17" t="str">
            <v>Revenues by Licensor</v>
          </cell>
          <cell r="E17">
            <v>1.7</v>
          </cell>
        </row>
        <row r="18">
          <cell r="B18" t="str">
            <v>Device Sales</v>
          </cell>
          <cell r="E18">
            <v>1.8</v>
          </cell>
        </row>
        <row r="19">
          <cell r="B19" t="str">
            <v>OEM Sales</v>
          </cell>
          <cell r="E19">
            <v>1.9</v>
          </cell>
        </row>
        <row r="21">
          <cell r="C21" t="str">
            <v>Data Type</v>
          </cell>
          <cell r="D21" t="str">
            <v>Entity Type</v>
          </cell>
        </row>
        <row r="22">
          <cell r="B22" t="str">
            <v>Qualcomm</v>
          </cell>
          <cell r="C22" t="str">
            <v>Confirmed</v>
          </cell>
          <cell r="D22" t="str">
            <v>Public Corp</v>
          </cell>
          <cell r="E22">
            <v>2.1</v>
          </cell>
        </row>
        <row r="23">
          <cell r="B23" t="str">
            <v>Ericsson</v>
          </cell>
          <cell r="C23" t="str">
            <v>Confirmed</v>
          </cell>
          <cell r="D23" t="str">
            <v>Public Corp</v>
          </cell>
          <cell r="E23">
            <v>2.2000000000000002</v>
          </cell>
        </row>
        <row r="24">
          <cell r="B24" t="str">
            <v>Nokia</v>
          </cell>
          <cell r="C24" t="str">
            <v>Confirmed</v>
          </cell>
          <cell r="D24" t="str">
            <v>Public Corp</v>
          </cell>
          <cell r="E24">
            <v>2.2999999999999998</v>
          </cell>
        </row>
        <row r="25">
          <cell r="B25" t="str">
            <v>Alcatel-Lucent (Nokia)</v>
          </cell>
          <cell r="C25" t="str">
            <v>Confirmed</v>
          </cell>
          <cell r="D25" t="str">
            <v>Public Corp</v>
          </cell>
          <cell r="E25" t="str">
            <v>2.3.1</v>
          </cell>
        </row>
        <row r="26">
          <cell r="B26" t="str">
            <v>Interdigital</v>
          </cell>
          <cell r="C26" t="str">
            <v>Confirmed</v>
          </cell>
          <cell r="D26" t="str">
            <v>Public Corp</v>
          </cell>
          <cell r="E26">
            <v>2.4</v>
          </cell>
        </row>
        <row r="27">
          <cell r="B27" t="str">
            <v>Microsoft</v>
          </cell>
          <cell r="C27" t="str">
            <v>Documented</v>
          </cell>
          <cell r="D27" t="str">
            <v>Public Corp</v>
          </cell>
          <cell r="E27">
            <v>2.5</v>
          </cell>
        </row>
        <row r="29">
          <cell r="C29" t="str">
            <v>Data Type</v>
          </cell>
          <cell r="D29" t="str">
            <v>Entity Type</v>
          </cell>
        </row>
        <row r="30">
          <cell r="B30" t="str">
            <v>Philips</v>
          </cell>
          <cell r="C30" t="str">
            <v>Approximated</v>
          </cell>
          <cell r="D30" t="str">
            <v>Public Corp</v>
          </cell>
          <cell r="E30">
            <v>3.1</v>
          </cell>
        </row>
        <row r="31">
          <cell r="B31" t="str">
            <v>ATT 802.11</v>
          </cell>
          <cell r="C31" t="str">
            <v>Researched</v>
          </cell>
          <cell r="D31" t="str">
            <v>Public Corp</v>
          </cell>
          <cell r="E31">
            <v>3.2</v>
          </cell>
        </row>
        <row r="32">
          <cell r="B32" t="str">
            <v>ATT MPEG4</v>
          </cell>
          <cell r="C32" t="str">
            <v>Researched</v>
          </cell>
          <cell r="D32" t="str">
            <v>Public Corp</v>
          </cell>
          <cell r="E32">
            <v>3.3</v>
          </cell>
        </row>
        <row r="33">
          <cell r="B33" t="str">
            <v>Broadcom</v>
          </cell>
          <cell r="C33" t="str">
            <v>Researched</v>
          </cell>
          <cell r="D33" t="str">
            <v>Public Corp</v>
          </cell>
          <cell r="E33">
            <v>3.4</v>
          </cell>
        </row>
        <row r="34">
          <cell r="B34" t="str">
            <v>Tessera</v>
          </cell>
          <cell r="C34" t="str">
            <v>Approximated</v>
          </cell>
          <cell r="D34" t="str">
            <v>Public Corp</v>
          </cell>
          <cell r="E34">
            <v>3.5</v>
          </cell>
        </row>
        <row r="35">
          <cell r="B35" t="str">
            <v>Rambus</v>
          </cell>
          <cell r="C35" t="str">
            <v>Approximated</v>
          </cell>
          <cell r="D35" t="str">
            <v>Public Corp</v>
          </cell>
          <cell r="E35">
            <v>3.6</v>
          </cell>
        </row>
        <row r="36">
          <cell r="B36" t="str">
            <v>Acacia Technologies</v>
          </cell>
          <cell r="C36" t="str">
            <v>Approximated</v>
          </cell>
          <cell r="D36" t="str">
            <v>Public Corp</v>
          </cell>
          <cell r="E36">
            <v>3.7</v>
          </cell>
        </row>
        <row r="37">
          <cell r="B37" t="str">
            <v>WiLAN</v>
          </cell>
          <cell r="C37" t="str">
            <v>Approximated</v>
          </cell>
          <cell r="D37" t="str">
            <v>Public Corp</v>
          </cell>
          <cell r="E37">
            <v>3.8</v>
          </cell>
        </row>
        <row r="38">
          <cell r="B38" t="str">
            <v>ParkerVision</v>
          </cell>
          <cell r="C38" t="str">
            <v>Confirmed</v>
          </cell>
          <cell r="D38" t="str">
            <v>Public Corp</v>
          </cell>
          <cell r="E38">
            <v>3.9</v>
          </cell>
        </row>
        <row r="39">
          <cell r="B39" t="str">
            <v>Unwired Planet</v>
          </cell>
          <cell r="C39" t="str">
            <v>Confirmed</v>
          </cell>
          <cell r="D39" t="str">
            <v>Public Corp</v>
          </cell>
          <cell r="E39" t="str">
            <v>3.10</v>
          </cell>
        </row>
        <row r="41">
          <cell r="B41" t="str">
            <v>VirnetX</v>
          </cell>
          <cell r="C41" t="str">
            <v>Confirmed</v>
          </cell>
          <cell r="D41" t="str">
            <v>Public Corp</v>
          </cell>
          <cell r="E41" t="str">
            <v>3.11</v>
          </cell>
        </row>
        <row r="42">
          <cell r="B42" t="str">
            <v>Marathon Patent Group</v>
          </cell>
          <cell r="C42" t="str">
            <v>Approximated</v>
          </cell>
          <cell r="D42" t="str">
            <v>Public Corp</v>
          </cell>
          <cell r="E42" t="str">
            <v>3.12</v>
          </cell>
        </row>
        <row r="44">
          <cell r="C44" t="str">
            <v>Data Type</v>
          </cell>
          <cell r="D44" t="str">
            <v>Entity Type</v>
          </cell>
        </row>
        <row r="45">
          <cell r="B45" t="str">
            <v>Via Licensing AAC</v>
          </cell>
          <cell r="C45" t="str">
            <v>Documented</v>
          </cell>
          <cell r="D45" t="str">
            <v>Pool</v>
          </cell>
          <cell r="E45">
            <v>4.0999999999999996</v>
          </cell>
        </row>
        <row r="46">
          <cell r="B46" t="str">
            <v>Via Licensing LTE</v>
          </cell>
          <cell r="C46" t="str">
            <v>Approximated</v>
          </cell>
          <cell r="D46" t="str">
            <v>Pool</v>
          </cell>
          <cell r="E46">
            <v>4.2</v>
          </cell>
        </row>
        <row r="47">
          <cell r="B47" t="str">
            <v>MPEGLA MPEG4</v>
          </cell>
          <cell r="C47" t="str">
            <v>Documented</v>
          </cell>
          <cell r="D47" t="str">
            <v>Pool</v>
          </cell>
          <cell r="E47">
            <v>4.3</v>
          </cell>
        </row>
        <row r="48">
          <cell r="B48" t="str">
            <v>MPEGLA AVC H.264</v>
          </cell>
          <cell r="C48" t="str">
            <v>Documented</v>
          </cell>
          <cell r="D48" t="str">
            <v>Pool</v>
          </cell>
          <cell r="E48">
            <v>4.4000000000000004</v>
          </cell>
        </row>
        <row r="49">
          <cell r="B49" t="str">
            <v>SISVEL LTE</v>
          </cell>
          <cell r="C49" t="str">
            <v>Researched</v>
          </cell>
          <cell r="D49" t="str">
            <v>Pool</v>
          </cell>
          <cell r="E49">
            <v>4.5</v>
          </cell>
        </row>
        <row r="50">
          <cell r="B50" t="str">
            <v>SISVEL WiFi</v>
          </cell>
          <cell r="C50" t="str">
            <v>Researched</v>
          </cell>
          <cell r="D50" t="str">
            <v>Pool</v>
          </cell>
          <cell r="E50">
            <v>4.5999999999999996</v>
          </cell>
        </row>
        <row r="51">
          <cell r="B51" t="str">
            <v>SIPROLAB WCDMA</v>
          </cell>
          <cell r="C51" t="str">
            <v>Researched</v>
          </cell>
          <cell r="D51" t="str">
            <v>Pool</v>
          </cell>
          <cell r="E51">
            <v>4.7</v>
          </cell>
        </row>
        <row r="52">
          <cell r="B52" t="str">
            <v>Vectis WiFi</v>
          </cell>
          <cell r="C52" t="str">
            <v>Researched</v>
          </cell>
          <cell r="D52" t="str">
            <v>Pool</v>
          </cell>
          <cell r="E52">
            <v>4.8</v>
          </cell>
        </row>
        <row r="53">
          <cell r="E53">
            <v>0</v>
          </cell>
        </row>
        <row r="54">
          <cell r="C54" t="str">
            <v>Data Type</v>
          </cell>
          <cell r="D54" t="str">
            <v>Entity Type</v>
          </cell>
        </row>
        <row r="55">
          <cell r="B55" t="str">
            <v>SISVEL Wireless</v>
          </cell>
          <cell r="C55" t="str">
            <v>Researched</v>
          </cell>
          <cell r="D55" t="str">
            <v>Private Corp</v>
          </cell>
          <cell r="E55">
            <v>5.0999999999999996</v>
          </cell>
        </row>
        <row r="56">
          <cell r="B56" t="str">
            <v>IP Com</v>
          </cell>
          <cell r="C56" t="str">
            <v>Researched</v>
          </cell>
          <cell r="D56" t="str">
            <v>Private Corp</v>
          </cell>
          <cell r="E56">
            <v>5.2</v>
          </cell>
        </row>
        <row r="57">
          <cell r="B57" t="str">
            <v>PanOptis-Optis</v>
          </cell>
          <cell r="C57" t="str">
            <v>Researched</v>
          </cell>
          <cell r="D57" t="str">
            <v>Private Corp</v>
          </cell>
          <cell r="E57">
            <v>5.3</v>
          </cell>
        </row>
        <row r="58">
          <cell r="B58" t="str">
            <v>IP Bridge</v>
          </cell>
          <cell r="C58" t="str">
            <v>Researched</v>
          </cell>
          <cell r="D58" t="str">
            <v>Private Corp</v>
          </cell>
          <cell r="E58">
            <v>5.4</v>
          </cell>
        </row>
        <row r="59">
          <cell r="B59" t="str">
            <v>Intellectual Ventures</v>
          </cell>
          <cell r="C59" t="str">
            <v>Researched</v>
          </cell>
          <cell r="D59" t="str">
            <v>Private Corp</v>
          </cell>
          <cell r="E59">
            <v>5.5</v>
          </cell>
        </row>
        <row r="60">
          <cell r="B60" t="str">
            <v>Huawei</v>
          </cell>
          <cell r="C60" t="str">
            <v>Approximated</v>
          </cell>
          <cell r="D60" t="str">
            <v>Private Corp</v>
          </cell>
          <cell r="E60">
            <v>5.6</v>
          </cell>
        </row>
        <row r="62">
          <cell r="D62">
            <v>5.3</v>
          </cell>
        </row>
        <row r="66">
          <cell r="D66">
            <v>5.5</v>
          </cell>
        </row>
        <row r="67">
          <cell r="D67" t="e">
            <v>#REF!</v>
          </cell>
        </row>
        <row r="68">
          <cell r="D6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statista.com/statistics/309472/global-average-selling-price-smartphones/" TargetMode="External"/><Relationship Id="rId7" Type="http://schemas.openxmlformats.org/officeDocument/2006/relationships/printerSettings" Target="../printerSettings/printerSettings16.bin"/><Relationship Id="rId2" Type="http://schemas.openxmlformats.org/officeDocument/2006/relationships/hyperlink" Target="http://www.statista.com/statistics/309472/global-average-selling-price-smartphones/%20%20accessed%20june%2021%202016" TargetMode="External"/><Relationship Id="rId1" Type="http://schemas.openxmlformats.org/officeDocument/2006/relationships/hyperlink" Target="http://www.gfk.com/insights/press-release/smartphone-market-up-66-percent-year-on-year-in-2016/" TargetMode="External"/><Relationship Id="rId6" Type="http://schemas.openxmlformats.org/officeDocument/2006/relationships/hyperlink" Target="https://mobiforge.com/research-analysis/2011-handset-and-smartphone-sales-statistics-worldwide-big-picture%20%20%20Accessed%20June%2019%202016" TargetMode="External"/><Relationship Id="rId5" Type="http://schemas.openxmlformats.org/officeDocument/2006/relationships/hyperlink" Target="https://mobiforge.com/research-analysis/2011-handset-and-smartphone-sales-statistics-worldwide-big-picture%20%20%20Accessed%20June%2019%202016" TargetMode="External"/><Relationship Id="rId4" Type="http://schemas.openxmlformats.org/officeDocument/2006/relationships/hyperlink" Target="https://www.idc.com/getdoc.jsp?containerId=prUS40980416"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gartner.com/newsroom/id/3609817" TargetMode="External"/><Relationship Id="rId7" Type="http://schemas.openxmlformats.org/officeDocument/2006/relationships/printerSettings" Target="../printerSettings/printerSettings17.bin"/><Relationship Id="rId2" Type="http://schemas.openxmlformats.org/officeDocument/2006/relationships/hyperlink" Target="https://www.idc.com/getdoc.jsp?containerId=prUS42268917" TargetMode="External"/><Relationship Id="rId1" Type="http://schemas.openxmlformats.org/officeDocument/2006/relationships/hyperlink" Target="https://mobiforge.com/research-analysis/2011-handset-and-smartphone-sales-statistics-worldwide-big-picture" TargetMode="External"/><Relationship Id="rId6" Type="http://schemas.openxmlformats.org/officeDocument/2006/relationships/hyperlink" Target="https://www.idc.com/getdoc.jsp?containerId=prUS42268917" TargetMode="External"/><Relationship Id="rId5" Type="http://schemas.openxmlformats.org/officeDocument/2006/relationships/hyperlink" Target="https://www.gartner.com/newsroom/id/3609817" TargetMode="External"/><Relationship Id="rId4" Type="http://schemas.openxmlformats.org/officeDocument/2006/relationships/hyperlink" Target="https://www.gartner.com/newsroom/id/3560517"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nokia.com/en_int/news/releases/2016/11/02/nokia-to-own-100-of-alcatel-lucent-following-squeeze-out-to-occur-today"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ir.interdigital.com/Cache/1500098999.PDF?O=PDF&amp;T=&amp;Y=&amp;D=&amp;FID=1500098999&amp;iid=4103938" TargetMode="Externa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hyperlink" Target="https://www.microsoft.com/investor/reports/ar15/index.html" TargetMode="External"/><Relationship Id="rId7" Type="http://schemas.openxmlformats.org/officeDocument/2006/relationships/hyperlink" Target="https://view.officeapps.live.com/op/view.aspx?src=http://www.microsoft.com/investor/reports/ar13/docs/2013_Annual_Report.docx" TargetMode="External"/><Relationship Id="rId2" Type="http://schemas.openxmlformats.org/officeDocument/2006/relationships/hyperlink" Target="https://www.microsoft.com/investor/reports/ar16/index.html" TargetMode="External"/><Relationship Id="rId1" Type="http://schemas.openxmlformats.org/officeDocument/2006/relationships/hyperlink" Target="https://news.microsoft.com/ip-agreements/" TargetMode="External"/><Relationship Id="rId6" Type="http://schemas.openxmlformats.org/officeDocument/2006/relationships/hyperlink" Target="https://view.officeapps.live.com/op/view.aspx?src=http://www.microsoft.com/investor/reports/ar12/docs/2012_Annual_Report.docx" TargetMode="External"/><Relationship Id="rId5" Type="http://schemas.openxmlformats.org/officeDocument/2006/relationships/hyperlink" Target="https://www.microsoft.com/investor/reports/ar14/index.html" TargetMode="External"/><Relationship Id="rId4" Type="http://schemas.openxmlformats.org/officeDocument/2006/relationships/hyperlink" Target="https://www.microsoft.com/investor/reports/ar16/index.htm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tt.com/gen/sites/ipsales?pid=25568"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att.com/gen/sites/ipsales?pid=19116" TargetMode="External"/><Relationship Id="rId1" Type="http://schemas.openxmlformats.org/officeDocument/2006/relationships/hyperlink" Target="http://www.test.att.com/gen/sites/ipsales?pid=27605"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sec.gov/Archives/edgar/data/1054374/000105437415000012/a20141231-10k.htm" TargetMode="External"/><Relationship Id="rId3" Type="http://schemas.openxmlformats.org/officeDocument/2006/relationships/hyperlink" Target="https://www.sec.gov/Archives/edgar/data/1054374/000105437413000018/brcm-20121231x10k.htm" TargetMode="External"/><Relationship Id="rId7" Type="http://schemas.openxmlformats.org/officeDocument/2006/relationships/hyperlink" Target="https://www.sec.gov/Archives/edgar/data/1054374/000095012310008370/a53724e10vk.htm" TargetMode="External"/><Relationship Id="rId2" Type="http://schemas.openxmlformats.org/officeDocument/2006/relationships/hyperlink" Target="https://www.sec.gov/Archives/edgar/data/1054374/000105437413000018/brcm-20121231x10k.htm" TargetMode="External"/><Relationship Id="rId1" Type="http://schemas.openxmlformats.org/officeDocument/2006/relationships/hyperlink" Target="https://www.sec.gov/Archives/edgar/data/1054374/000105437413000018/brcm-20121231x10k.htm" TargetMode="External"/><Relationship Id="rId6" Type="http://schemas.openxmlformats.org/officeDocument/2006/relationships/hyperlink" Target="https://www.sec.gov/Archives/edgar/data/1054374/000105437413000018/brcm-20121231x10k.htm" TargetMode="External"/><Relationship Id="rId5" Type="http://schemas.openxmlformats.org/officeDocument/2006/relationships/hyperlink" Target="https://www.sec.gov/Archives/edgar/data/1054374/000105437413000018/brcm-20121231x10k.htm" TargetMode="External"/><Relationship Id="rId4" Type="http://schemas.openxmlformats.org/officeDocument/2006/relationships/hyperlink" Target="https://www.sec.gov/Archives/edgar/data/1054374/000105437413000018/brcm-20121231x10k.htm" TargetMode="External"/><Relationship Id="rId9"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files.shareholder.com/downloads/AMDA-7SINK3/4464622416x0xS1628280-17-1795/1690666/filing.pdf" TargetMode="External"/><Relationship Id="rId1" Type="http://schemas.openxmlformats.org/officeDocument/2006/relationships/hyperlink" Target="http://www.tesser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files.shareholder.com/downloads/RMBS/1676655706x0xS917273-17-7/917273/filing.pdf" TargetMode="External"/><Relationship Id="rId2" Type="http://schemas.openxmlformats.org/officeDocument/2006/relationships/hyperlink" Target="http://www.statista.com/statistics/302139/global-revenue-of-dram-suppliers/" TargetMode="External"/><Relationship Id="rId1" Type="http://schemas.openxmlformats.org/officeDocument/2006/relationships/hyperlink" Target="https://www.statista.com/study/11803/global-semiconductor-market-statista-dossier/" TargetMode="External"/><Relationship Id="rId4"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acaciaresearch.com/wp-content/uploads/2017/02/ACTG_20161231_10-_-r254_FINAL.pdf"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1.q4cdn.com/456492956/files/documents_financial/2016/Q4/Annual-Information-Form.pdf" TargetMode="Externa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4.bin"/><Relationship Id="rId1" Type="http://schemas.openxmlformats.org/officeDocument/2006/relationships/hyperlink" Target="http://ir.parkervision.com/releasedetail.cfm?ReleaseID=979867" TargetMode="External"/><Relationship Id="rId4" Type="http://schemas.openxmlformats.org/officeDocument/2006/relationships/comments" Target="../comments1.xm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sec.gov/Archives/edgar/data/1082506/000155837016008344/gec-20160630x10k.htm"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ir.virnetx.com/phoenix.zhtml?c=67430&amp;p=irol-SECText&amp;TEXT=aHR0cDovL2FwaS50ZW5rd2l6YXJkLmNvbS9maWxpbmcueG1sP2lwYWdlPTExNDczNzc4JkRTRVE9MCZTRVE9MCZTUURFU0M9U0VDVElPTl9FTlRJUkUmc3Vic2lkPTU3"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ir.marathonpg.com/all-sec-filings/content/0001104659-17-021458/0001104659-17-021458.pdf"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https://www.ibm.com/annualreport/2009/2009_ibm_annual.pdf" TargetMode="External"/><Relationship Id="rId3" Type="http://schemas.openxmlformats.org/officeDocument/2006/relationships/hyperlink" Target="https://www.ibm.com/annualreport/2016/images/downloads/IBM-Annual-Report-2016.pdf" TargetMode="External"/><Relationship Id="rId7" Type="http://schemas.openxmlformats.org/officeDocument/2006/relationships/hyperlink" Target="https://www.ibm.com/investor/pdf/2011_ibm_annual.pdf" TargetMode="External"/><Relationship Id="rId2" Type="http://schemas.openxmlformats.org/officeDocument/2006/relationships/hyperlink" Target="https://www.ibm.com/annualreport/2016/images/downloads/IBM-Annual-Report-2016.pdf" TargetMode="External"/><Relationship Id="rId1" Type="http://schemas.openxmlformats.org/officeDocument/2006/relationships/hyperlink" Target="https://www.ibm.com/investor/att/pdf/IBM_Annual_Report_2015.pdf" TargetMode="External"/><Relationship Id="rId6" Type="http://schemas.openxmlformats.org/officeDocument/2006/relationships/hyperlink" Target="https://www.ibm.com/annualreport/2012/bin/assets/2012_ibm_annual.pdf" TargetMode="External"/><Relationship Id="rId5" Type="http://schemas.openxmlformats.org/officeDocument/2006/relationships/hyperlink" Target="https://www.ibm.com/investor/att/pdf/2013_ibm_annual.pdf" TargetMode="External"/><Relationship Id="rId4" Type="http://schemas.openxmlformats.org/officeDocument/2006/relationships/hyperlink" Target="https://www.ibm.com/investor/att/pdf/IBM_Annual_Report_2014.pdf" TargetMode="External"/><Relationship Id="rId9" Type="http://schemas.openxmlformats.org/officeDocument/2006/relationships/printerSettings" Target="../printerSettings/printerSettings3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www.via-corp.com/licensing/lte/licensefees.html"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www.mpegla.com/main/programs/AVC/Pages/Intro.aspx"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isvel.com/lte-ltea/license-terms"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www.sisvel.com/wi-fi/license-terms"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www.via-corp.com/newsdetail.aspx?id=2226" TargetMode="External"/><Relationship Id="rId2" Type="http://schemas.openxmlformats.org/officeDocument/2006/relationships/hyperlink" Target="http://www.via-corp.com/newsdetail.aspx?id=2226" TargetMode="External"/><Relationship Id="rId1" Type="http://schemas.openxmlformats.org/officeDocument/2006/relationships/hyperlink" Target="http://www.via-corp.com/newsdetail.aspx?id=2226" TargetMode="External"/><Relationship Id="rId4" Type="http://schemas.openxmlformats.org/officeDocument/2006/relationships/printerSettings" Target="../printerSettings/printerSettings49.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www.vectis.com/programs/" TargetMode="External"/><Relationship Id="rId1" Type="http://schemas.openxmlformats.org/officeDocument/2006/relationships/hyperlink" Target="http://www.vectis.com/progra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www.mpegla.com/main/programs/HEVC/Pages/Licensees.aspx" TargetMode="External"/><Relationship Id="rId7" Type="http://schemas.openxmlformats.org/officeDocument/2006/relationships/printerSettings" Target="../printerSettings/printerSettings51.bin"/><Relationship Id="rId2" Type="http://schemas.openxmlformats.org/officeDocument/2006/relationships/hyperlink" Target="http://www.mpegla.com/main/programs/HEVC/Pages/Licensors.aspx" TargetMode="External"/><Relationship Id="rId1" Type="http://schemas.openxmlformats.org/officeDocument/2006/relationships/hyperlink" Target="http://www.mpegla.com/main/programs/HEVC/Documents/HEVCweb.pdf" TargetMode="External"/><Relationship Id="rId6" Type="http://schemas.openxmlformats.org/officeDocument/2006/relationships/hyperlink" Target="http://www.mpegla.com/Lists/MPEG%20LA%20News%20List/Attachments/91/n-14-09-29.pdf" TargetMode="External"/><Relationship Id="rId5" Type="http://schemas.openxmlformats.org/officeDocument/2006/relationships/hyperlink" Target="http://www.mpegla.com/main/programs/HEVC/Pages/Licensees.aspx" TargetMode="External"/><Relationship Id="rId4" Type="http://schemas.openxmlformats.org/officeDocument/2006/relationships/hyperlink" Target="http://www.mpegla.com/main/programs/HEVC/Pages/Licensors.aspx"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www.hevcadvance.com/pdfnew/LicensorList.pdf" TargetMode="External"/><Relationship Id="rId2" Type="http://schemas.openxmlformats.org/officeDocument/2006/relationships/hyperlink" Target="http://www.hevcadvance.com/pdfnew/LicenseeList.pdf" TargetMode="External"/><Relationship Id="rId1" Type="http://schemas.openxmlformats.org/officeDocument/2006/relationships/hyperlink" Target="http://www.hevcadvance.com/pdfnew/RoyaltyRatesSummary.pdf" TargetMode="External"/><Relationship Id="rId6" Type="http://schemas.openxmlformats.org/officeDocument/2006/relationships/printerSettings" Target="../printerSettings/printerSettings52.bin"/><Relationship Id="rId5" Type="http://schemas.openxmlformats.org/officeDocument/2006/relationships/hyperlink" Target="http://www.hevcadvance.com/pdfnew/GeneralSummaryOfPatentPool.pdf" TargetMode="External"/><Relationship Id="rId4" Type="http://schemas.openxmlformats.org/officeDocument/2006/relationships/hyperlink" Target="http://www.hevcadvance.com/pdfnew/Region1Region2CountryList.pdf"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velosmedia.com/technology/q-and-a/" TargetMode="Externa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5.bin"/><Relationship Id="rId1" Type="http://schemas.openxmlformats.org/officeDocument/2006/relationships/hyperlink" Target="http://sisvel.com/wireless/license-terms"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www.fosspatents.com/2013/06/patent-firm-ipcom-settles-with-t-mobile.html" TargetMode="External"/><Relationship Id="rId1" Type="http://schemas.openxmlformats.org/officeDocument/2006/relationships/hyperlink" Target="http://www.cellular-news.com/story/Legal/60827.php"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www.zoominfo.com/s/" TargetMode="Externa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8.xml.rels><?xml version="1.0" encoding="UTF-8" standalone="yes"?>
<Relationships xmlns="http://schemas.openxmlformats.org/package/2006/relationships"><Relationship Id="rId3" Type="http://schemas.openxmlformats.org/officeDocument/2006/relationships/hyperlink" Target="http://www.intellectualventures.com/about/investor-relations" TargetMode="External"/><Relationship Id="rId2" Type="http://schemas.openxmlformats.org/officeDocument/2006/relationships/hyperlink" Target="http://www.marketwatch.com/story/myhrvolds-patent-firm-sees-revenue-swell-2011-03-04?reflink=MW_news_stmp" TargetMode="External"/><Relationship Id="rId1" Type="http://schemas.openxmlformats.org/officeDocument/2006/relationships/hyperlink" Target="http://www.intellectualventures.com/about/investor-relations" TargetMode="External"/><Relationship Id="rId4" Type="http://schemas.openxmlformats.org/officeDocument/2006/relationships/printerSettings" Target="../printerSettings/printerSettings59.bin"/></Relationships>
</file>

<file path=xl/worksheets/_rels/sheet59.xml.rels><?xml version="1.0" encoding="UTF-8" standalone="yes"?>
<Relationships xmlns="http://schemas.openxmlformats.org/package/2006/relationships"><Relationship Id="rId3" Type="http://schemas.openxmlformats.org/officeDocument/2006/relationships/hyperlink" Target="http://www.hi3p.com/2016/05/26/patent-battle-to-bite-the-hard-huawei-sued-samsung-infringement-52218.html" TargetMode="External"/><Relationship Id="rId2" Type="http://schemas.openxmlformats.org/officeDocument/2006/relationships/hyperlink" Target="http://www.huawei.com/en/about-huawei/annual-report/2016" TargetMode="External"/><Relationship Id="rId1" Type="http://schemas.openxmlformats.org/officeDocument/2006/relationships/hyperlink" Target="http://www.iam-media.com/blog/detail.aspx?g=c8479d8b-88ca-4425-a10a-0d3389b36fc9" TargetMode="External"/><Relationship Id="rId6" Type="http://schemas.openxmlformats.org/officeDocument/2006/relationships/printerSettings" Target="../printerSettings/printerSettings60.bin"/><Relationship Id="rId5" Type="http://schemas.openxmlformats.org/officeDocument/2006/relationships/hyperlink" Target="http://www.theverge.com/2016/5/24/11762004/huawei-samsung-lte-patent-lawsuit" TargetMode="External"/><Relationship Id="rId4" Type="http://schemas.openxmlformats.org/officeDocument/2006/relationships/hyperlink" Target="http://www.patentlyapple.com/patently-apple/2016/05/huawei-files-an-11-count-patent-infringement-lawsuit-against-samsung-in-china-and-the-u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wiseharbor.com/pdfs/Mallinson%20on%20cumulative%20mobile%20SEP%20royalties%20for%20IP%20Finance%202015Aug19.pdf" TargetMode="External"/></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hyperlink" Target="http://www.marketwired.com/press-release/mosaid-technologies-announces-closing-of-acquisition-by-sterling-partners-tsx-msd-1601810.htm" TargetMode="External"/><Relationship Id="rId7" Type="http://schemas.openxmlformats.org/officeDocument/2006/relationships/hyperlink" Target="http://www.marketwired.com/press-release/mosaid-technologies-announces-closing-of-acquisition-by-sterling-partners-tsx-msd-1601810.htm" TargetMode="External"/><Relationship Id="rId2" Type="http://schemas.openxmlformats.org/officeDocument/2006/relationships/hyperlink" Target="http://www.marketwired.com/press-release/mosaid-technologies-announces-closing-of-acquisition-by-sterling-partners-tsx-msd-1601810.htm" TargetMode="External"/><Relationship Id="rId1" Type="http://schemas.openxmlformats.org/officeDocument/2006/relationships/hyperlink" Target="http://www.marketwired.com/press-release/mosaid-technologies-announces-closing-of-acquisition-by-sterling-partners-tsx-msd-1601810.htm" TargetMode="External"/><Relationship Id="rId6" Type="http://schemas.openxmlformats.org/officeDocument/2006/relationships/hyperlink" Target="http://www.marketwired.com/press-release/mosaid-technologies-announces-closing-of-acquisition-by-sterling-partners-tsx-msd-1601810.htm" TargetMode="External"/><Relationship Id="rId5" Type="http://schemas.openxmlformats.org/officeDocument/2006/relationships/hyperlink" Target="http://www.marketwired.com/press-release/mosaid-technologies-announces-closing-of-acquisition-by-sterling-partners-tsx-msd-1601810.htm" TargetMode="External"/><Relationship Id="rId4" Type="http://schemas.openxmlformats.org/officeDocument/2006/relationships/hyperlink" Target="http://www.marketwired.com/press-release/mosaid-technologies-announces-closing-of-acquisition-by-sterling-partners-tsx-msd-1601810.htm"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www.longitudelicensing.ie/pressrelease.shtml"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3" Type="http://schemas.openxmlformats.org/officeDocument/2006/relationships/hyperlink" Target="mailto:haber@stanford.edu" TargetMode="External"/><Relationship Id="rId2" Type="http://schemas.openxmlformats.org/officeDocument/2006/relationships/hyperlink" Target="http://stephen-haber.com/" TargetMode="External"/><Relationship Id="rId1" Type="http://schemas.openxmlformats.org/officeDocument/2006/relationships/hyperlink" Target="mailto:Lew@HamiltonIPV.com" TargetMode="External"/><Relationship Id="rId6" Type="http://schemas.openxmlformats.org/officeDocument/2006/relationships/printerSettings" Target="../printerSettings/printerSettings7.bin"/><Relationship Id="rId5" Type="http://schemas.openxmlformats.org/officeDocument/2006/relationships/hyperlink" Target="mailto:alexander@galetovic.cl" TargetMode="External"/><Relationship Id="rId4" Type="http://schemas.openxmlformats.org/officeDocument/2006/relationships/hyperlink" Target="http://www.hoover.org/profiles/alexander-galetovic"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8:A40"/>
  <sheetViews>
    <sheetView showGridLines="0" view="pageLayout" zoomScale="62" zoomScalePageLayoutView="62" workbookViewId="0">
      <selection activeCell="A34" sqref="A34"/>
    </sheetView>
  </sheetViews>
  <sheetFormatPr baseColWidth="10" defaultRowHeight="15.6"/>
  <cols>
    <col min="1" max="1" width="81.5" customWidth="1"/>
  </cols>
  <sheetData>
    <row r="8" spans="1:1">
      <c r="A8" s="52"/>
    </row>
    <row r="12" spans="1:1" ht="25.8">
      <c r="A12" s="43" t="s">
        <v>479</v>
      </c>
    </row>
    <row r="13" spans="1:1" ht="23.4">
      <c r="A13" s="44" t="s">
        <v>966</v>
      </c>
    </row>
    <row r="15" spans="1:1" ht="23.4">
      <c r="A15" s="44" t="s">
        <v>478</v>
      </c>
    </row>
    <row r="17" spans="1:1">
      <c r="A17" s="70"/>
    </row>
    <row r="38" spans="1:1">
      <c r="A38" s="35" t="s">
        <v>1400</v>
      </c>
    </row>
    <row r="39" spans="1:1">
      <c r="A39" s="35" t="s">
        <v>481</v>
      </c>
    </row>
    <row r="40" spans="1:1">
      <c r="A40" s="35" t="s">
        <v>881</v>
      </c>
    </row>
  </sheetData>
  <phoneticPr fontId="16" type="noConversion"/>
  <pageMargins left="0.7" right="0.7" top="0.75" bottom="0.75" header="0.3" footer="0.3"/>
  <pageSetup orientation="portrait" horizontalDpi="4294967292" verticalDpi="4294967292" r:id="rId1"/>
  <headerFooter>
    <oddFooter>&amp;C&amp;P</oddFooter>
  </headerFooter>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showGridLines="0" view="pageLayout" workbookViewId="0">
      <selection activeCell="C18" sqref="C18"/>
    </sheetView>
  </sheetViews>
  <sheetFormatPr baseColWidth="10" defaultColWidth="10.796875" defaultRowHeight="15.6"/>
  <cols>
    <col min="1" max="1" width="11.69921875" style="443" customWidth="1"/>
    <col min="2" max="2" width="22.296875" style="443" customWidth="1"/>
    <col min="3" max="3" width="12.296875" style="443" customWidth="1"/>
    <col min="4" max="4" width="8.296875" style="443" customWidth="1"/>
    <col min="5" max="5" width="41.296875" style="443" customWidth="1"/>
    <col min="6" max="6" width="11.5" style="443" customWidth="1"/>
    <col min="7" max="7" width="16" style="360" bestFit="1" customWidth="1"/>
    <col min="8" max="16384" width="10.796875" style="360"/>
  </cols>
  <sheetData>
    <row r="2" spans="1:6" ht="46.8">
      <c r="A2" s="188" t="s">
        <v>1390</v>
      </c>
      <c r="B2" s="188"/>
    </row>
    <row r="3" spans="1:6" ht="18">
      <c r="A3" s="61" t="str">
        <f>CONCATENATE(VLOOKUP($A$2,'[1]Table of Contents'!$B:$E,4,FALSE)," ",$A$2)</f>
        <v>1.5 Economic Summary 2015</v>
      </c>
      <c r="B3" s="61"/>
    </row>
    <row r="5" spans="1:6" ht="16.05" customHeight="1">
      <c r="A5" s="534" t="s">
        <v>1391</v>
      </c>
      <c r="B5" s="534"/>
      <c r="C5" s="534"/>
      <c r="D5" s="534"/>
      <c r="E5" s="534"/>
      <c r="F5" s="534"/>
    </row>
    <row r="6" spans="1:6">
      <c r="A6" s="442"/>
      <c r="B6" s="442"/>
      <c r="C6" s="442"/>
      <c r="D6" s="442"/>
      <c r="E6" s="442"/>
      <c r="F6" s="442"/>
    </row>
    <row r="7" spans="1:6" ht="31.2">
      <c r="A7" s="75" t="s">
        <v>840</v>
      </c>
      <c r="B7" s="75" t="s">
        <v>841</v>
      </c>
      <c r="C7" s="75" t="s">
        <v>836</v>
      </c>
      <c r="D7" s="75" t="s">
        <v>835</v>
      </c>
      <c r="E7" s="75" t="s">
        <v>2</v>
      </c>
      <c r="F7" s="75" t="s">
        <v>842</v>
      </c>
    </row>
    <row r="8" spans="1:6">
      <c r="A8" s="442" t="s">
        <v>820</v>
      </c>
      <c r="B8" s="444" t="s">
        <v>1385</v>
      </c>
      <c r="C8" s="452">
        <f>'1.8 Device Sales'!N18/1000000</f>
        <v>437002.79080390208</v>
      </c>
      <c r="D8" s="261" t="s">
        <v>7</v>
      </c>
      <c r="E8" s="535" t="s">
        <v>7</v>
      </c>
      <c r="F8" s="535"/>
    </row>
    <row r="9" spans="1:6">
      <c r="A9" s="536" t="s">
        <v>838</v>
      </c>
      <c r="B9" s="174" t="s">
        <v>1345</v>
      </c>
      <c r="C9" s="452">
        <f>'1.7 Revenues by Licensor'!AP28/1000000</f>
        <v>14506.236255266562</v>
      </c>
      <c r="D9" s="102">
        <f>C9/C8</f>
        <v>3.3194836647567318E-2</v>
      </c>
      <c r="E9" s="537"/>
      <c r="F9" s="537"/>
    </row>
    <row r="10" spans="1:6" ht="16.05" customHeight="1">
      <c r="A10" s="536"/>
      <c r="B10" s="174" t="s">
        <v>1381</v>
      </c>
      <c r="C10" s="452">
        <v>16142</v>
      </c>
      <c r="D10" s="102">
        <f>C10/C8</f>
        <v>3.6937979206735687E-2</v>
      </c>
      <c r="E10" s="445" t="s">
        <v>1392</v>
      </c>
      <c r="F10" s="453">
        <v>11.23</v>
      </c>
    </row>
    <row r="11" spans="1:6" ht="16.05" customHeight="1">
      <c r="A11" s="536"/>
      <c r="B11" s="174" t="s">
        <v>1380</v>
      </c>
      <c r="C11" s="454">
        <f>F11-C10</f>
        <v>67658</v>
      </c>
      <c r="D11" s="102">
        <f>C11/C8</f>
        <v>0.15482280988535022</v>
      </c>
      <c r="E11" s="445" t="s">
        <v>1393</v>
      </c>
      <c r="F11" s="455">
        <f>83800000000/1000000</f>
        <v>83800</v>
      </c>
    </row>
    <row r="12" spans="1:6">
      <c r="A12" s="536"/>
      <c r="B12" s="174" t="s">
        <v>1382</v>
      </c>
      <c r="C12" s="452">
        <f>C8-SUM(C9:C11,C13)</f>
        <v>273506.43607440992</v>
      </c>
      <c r="D12" s="102">
        <f>C12/C8</f>
        <v>0.62586885445576368</v>
      </c>
      <c r="E12" s="445" t="s">
        <v>837</v>
      </c>
      <c r="F12" s="445"/>
    </row>
    <row r="13" spans="1:6" ht="31.2">
      <c r="A13" s="442" t="s">
        <v>839</v>
      </c>
      <c r="B13" s="174" t="s">
        <v>1383</v>
      </c>
      <c r="C13" s="456">
        <f>F13</f>
        <v>65190.118474225586</v>
      </c>
      <c r="D13" s="102">
        <f>C13/C8</f>
        <v>0.1491755198045831</v>
      </c>
      <c r="E13" s="443" t="s">
        <v>1394</v>
      </c>
      <c r="F13" s="457">
        <v>65190.118474225586</v>
      </c>
    </row>
    <row r="14" spans="1:6">
      <c r="B14" s="304"/>
      <c r="C14" s="474">
        <f>SUM(C9:C13)</f>
        <v>437002.79080390203</v>
      </c>
      <c r="D14" s="306">
        <f>SUM(D9:D13)</f>
        <v>1</v>
      </c>
      <c r="E14" s="360"/>
      <c r="F14" s="360"/>
    </row>
    <row r="15" spans="1:6">
      <c r="A15" s="360"/>
      <c r="B15" s="360"/>
      <c r="C15" s="175"/>
      <c r="D15" s="360"/>
      <c r="E15" s="360"/>
      <c r="F15" s="360"/>
    </row>
    <row r="16" spans="1:6">
      <c r="E16" s="360"/>
      <c r="F16" s="360"/>
    </row>
    <row r="17" spans="1:6">
      <c r="A17" s="360"/>
      <c r="B17" s="360"/>
      <c r="D17" s="360"/>
      <c r="E17" s="360"/>
      <c r="F17" s="360"/>
    </row>
    <row r="18" spans="1:6" s="443" customFormat="1">
      <c r="A18" s="360"/>
      <c r="B18" s="360"/>
      <c r="D18" s="360"/>
      <c r="E18" s="360"/>
      <c r="F18" s="360"/>
    </row>
    <row r="19" spans="1:6" s="443" customFormat="1">
      <c r="A19" s="360"/>
      <c r="B19" s="360"/>
      <c r="D19" s="360"/>
      <c r="E19" s="360"/>
      <c r="F19" s="360"/>
    </row>
    <row r="20" spans="1:6" s="443" customFormat="1">
      <c r="A20" s="360"/>
      <c r="B20" s="360"/>
      <c r="D20" s="360"/>
      <c r="E20" s="360"/>
      <c r="F20" s="360"/>
    </row>
    <row r="21" spans="1:6" s="443" customFormat="1">
      <c r="A21" s="360"/>
      <c r="B21" s="360"/>
      <c r="C21" s="176" t="s">
        <v>7</v>
      </c>
      <c r="D21" s="360"/>
      <c r="E21" s="360"/>
      <c r="F21" s="360"/>
    </row>
    <row r="22" spans="1:6" s="443" customFormat="1">
      <c r="A22" s="360"/>
      <c r="B22" s="360"/>
      <c r="C22" s="176"/>
      <c r="D22" s="360"/>
      <c r="E22" s="360"/>
      <c r="F22" s="360"/>
    </row>
    <row r="23" spans="1:6" s="443" customFormat="1">
      <c r="A23" s="360"/>
      <c r="B23" s="360"/>
      <c r="C23" s="176"/>
      <c r="D23" s="360"/>
      <c r="E23" s="360"/>
      <c r="F23" s="360"/>
    </row>
    <row r="24" spans="1:6" s="443" customFormat="1">
      <c r="A24" s="360"/>
      <c r="B24" s="360"/>
      <c r="C24" s="360"/>
      <c r="D24" s="360"/>
      <c r="E24" s="360"/>
      <c r="F24" s="360"/>
    </row>
    <row r="25" spans="1:6" s="443" customFormat="1">
      <c r="A25" s="360"/>
      <c r="B25" s="360"/>
      <c r="C25" s="360"/>
      <c r="D25" s="360"/>
      <c r="E25" s="360"/>
      <c r="F25" s="360"/>
    </row>
    <row r="26" spans="1:6" s="443" customFormat="1">
      <c r="A26" s="360"/>
      <c r="B26" s="360"/>
      <c r="C26" s="360"/>
      <c r="D26" s="360"/>
      <c r="E26" s="360"/>
      <c r="F26" s="360"/>
    </row>
    <row r="27" spans="1:6" s="443" customFormat="1">
      <c r="A27" s="360"/>
      <c r="B27" s="360"/>
      <c r="C27" s="360"/>
      <c r="D27" s="360"/>
      <c r="E27" s="360"/>
      <c r="F27" s="360"/>
    </row>
    <row r="29" spans="1:6" s="443" customFormat="1">
      <c r="A29" s="153"/>
      <c r="B29" s="153"/>
    </row>
  </sheetData>
  <mergeCells count="4">
    <mergeCell ref="A5:F5"/>
    <mergeCell ref="E8:F8"/>
    <mergeCell ref="A9:A12"/>
    <mergeCell ref="E9:F9"/>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showGridLines="0" view="pageLayout" workbookViewId="0"/>
  </sheetViews>
  <sheetFormatPr baseColWidth="10" defaultRowHeight="15.6"/>
  <cols>
    <col min="1" max="1" width="11.69921875" style="152" customWidth="1"/>
    <col min="2" max="2" width="22.296875" style="214" customWidth="1"/>
    <col min="3" max="3" width="10.296875" style="152" customWidth="1"/>
    <col min="4" max="4" width="8.296875" style="152" customWidth="1"/>
    <col min="5" max="5" width="41.796875" style="152" customWidth="1"/>
    <col min="6" max="6" width="11.5" style="152" customWidth="1"/>
    <col min="7" max="7" width="16" bestFit="1" customWidth="1"/>
  </cols>
  <sheetData>
    <row r="2" spans="1:6" ht="46.8">
      <c r="A2" s="188" t="s">
        <v>883</v>
      </c>
      <c r="B2" s="188"/>
    </row>
    <row r="3" spans="1:6" ht="18">
      <c r="A3" s="61" t="str">
        <f>CONCATENATE(VLOOKUP($A$2,'Table of Contents'!$B:$E,4,FALSE)," ",$A$2)</f>
        <v xml:space="preserve"> Economic Summary 2016</v>
      </c>
      <c r="B3" s="61"/>
    </row>
    <row r="5" spans="1:6" ht="16.05" customHeight="1">
      <c r="A5" s="534" t="s">
        <v>884</v>
      </c>
      <c r="B5" s="534"/>
      <c r="C5" s="534"/>
      <c r="D5" s="534"/>
      <c r="E5" s="534"/>
      <c r="F5" s="534"/>
    </row>
    <row r="6" spans="1:6" s="215" customFormat="1">
      <c r="A6" s="213"/>
      <c r="B6" s="213"/>
      <c r="C6" s="213"/>
      <c r="D6" s="213"/>
      <c r="E6" s="213"/>
      <c r="F6" s="213"/>
    </row>
    <row r="7" spans="1:6" s="215" customFormat="1" ht="31.2">
      <c r="A7" s="75" t="s">
        <v>840</v>
      </c>
      <c r="B7" s="75" t="s">
        <v>841</v>
      </c>
      <c r="C7" s="75" t="s">
        <v>836</v>
      </c>
      <c r="D7" s="75" t="s">
        <v>835</v>
      </c>
      <c r="E7" s="75" t="s">
        <v>2</v>
      </c>
      <c r="F7" s="75" t="s">
        <v>842</v>
      </c>
    </row>
    <row r="8" spans="1:6">
      <c r="A8" s="213" t="s">
        <v>820</v>
      </c>
      <c r="B8" s="173" t="s">
        <v>1385</v>
      </c>
      <c r="C8" s="249">
        <f>F8</f>
        <v>425100</v>
      </c>
      <c r="D8" s="180" t="s">
        <v>7</v>
      </c>
      <c r="E8" s="298" t="s">
        <v>997</v>
      </c>
      <c r="F8" s="323">
        <f>'1.8 Device Sales'!N19/1000000</f>
        <v>425100</v>
      </c>
    </row>
    <row r="9" spans="1:6">
      <c r="A9" s="536" t="s">
        <v>838</v>
      </c>
      <c r="B9" s="174" t="s">
        <v>1345</v>
      </c>
      <c r="C9" s="249">
        <f>F9</f>
        <v>14191.623148251152</v>
      </c>
      <c r="D9" s="102">
        <f>C9/C8</f>
        <v>3.3384199360741357E-2</v>
      </c>
      <c r="E9" s="298" t="s">
        <v>998</v>
      </c>
      <c r="F9" s="323">
        <f>'1.7 Revenues by Licensor'!AP29/1000000</f>
        <v>14191.623148251152</v>
      </c>
    </row>
    <row r="10" spans="1:6" ht="16.05" customHeight="1">
      <c r="A10" s="536"/>
      <c r="B10" s="174" t="s">
        <v>1381</v>
      </c>
      <c r="C10" s="249">
        <f>F10*'1.8 Device Sales'!G19/1000000</f>
        <v>21807.207999999999</v>
      </c>
      <c r="D10" s="102">
        <f>C10/C8</f>
        <v>5.1299007292401784E-2</v>
      </c>
      <c r="E10" s="50" t="s">
        <v>995</v>
      </c>
      <c r="F10" s="322">
        <v>14.8</v>
      </c>
    </row>
    <row r="11" spans="1:6" s="241" customFormat="1" ht="16.05" customHeight="1">
      <c r="A11" s="536"/>
      <c r="B11" s="174" t="s">
        <v>1380</v>
      </c>
      <c r="C11" s="250">
        <f>F11-C10</f>
        <v>84977.792000000001</v>
      </c>
      <c r="D11" s="102">
        <f>C11/C8</f>
        <v>0.1999007104210774</v>
      </c>
      <c r="E11" s="50" t="s">
        <v>996</v>
      </c>
      <c r="F11" s="321">
        <f>339000*0.315</f>
        <v>106785</v>
      </c>
    </row>
    <row r="12" spans="1:6">
      <c r="A12" s="536"/>
      <c r="B12" s="174" t="s">
        <v>1382</v>
      </c>
      <c r="C12" s="249">
        <f>C8-SUM(C9:C11,C13)</f>
        <v>254133.37685174885</v>
      </c>
      <c r="D12" s="102">
        <f>C12/C8</f>
        <v>0.5978202231280848</v>
      </c>
      <c r="E12" s="50" t="s">
        <v>837</v>
      </c>
      <c r="F12" s="50"/>
    </row>
    <row r="13" spans="1:6" ht="31.2">
      <c r="A13" s="213" t="s">
        <v>839</v>
      </c>
      <c r="B13" s="174" t="s">
        <v>1383</v>
      </c>
      <c r="C13" s="251">
        <f>F13</f>
        <v>49990</v>
      </c>
      <c r="D13" s="102">
        <f>C13/C8</f>
        <v>0.11759585979769466</v>
      </c>
      <c r="E13" s="298" t="s">
        <v>994</v>
      </c>
      <c r="F13" s="321">
        <v>49990</v>
      </c>
    </row>
    <row r="14" spans="1:6">
      <c r="B14" s="304"/>
      <c r="C14" s="305">
        <f>SUM(C9:C13)</f>
        <v>425100</v>
      </c>
      <c r="D14" s="306">
        <f>SUM(D9:D13)</f>
        <v>1</v>
      </c>
      <c r="E14"/>
      <c r="F14"/>
    </row>
    <row r="15" spans="1:6">
      <c r="A15" s="215"/>
      <c r="B15" s="215"/>
      <c r="C15" s="175"/>
      <c r="D15"/>
      <c r="E15"/>
      <c r="F15"/>
    </row>
    <row r="16" spans="1:6">
      <c r="E16"/>
      <c r="F16"/>
    </row>
    <row r="17" spans="1:6">
      <c r="A17" s="215"/>
      <c r="B17" s="215"/>
      <c r="D17"/>
      <c r="E17"/>
      <c r="F17"/>
    </row>
    <row r="18" spans="1:6" s="152" customFormat="1">
      <c r="A18"/>
      <c r="B18" s="215"/>
      <c r="D18"/>
      <c r="E18" s="301"/>
      <c r="F18" s="301"/>
    </row>
    <row r="19" spans="1:6" s="152" customFormat="1">
      <c r="A19" s="215"/>
      <c r="B19" s="215"/>
      <c r="D19"/>
      <c r="E19" s="301"/>
      <c r="F19" s="301"/>
    </row>
    <row r="20" spans="1:6" s="152" customFormat="1">
      <c r="A20" s="215"/>
      <c r="B20" s="215"/>
      <c r="D20"/>
      <c r="E20" s="301"/>
      <c r="F20" s="301"/>
    </row>
    <row r="21" spans="1:6" s="152" customFormat="1">
      <c r="A21"/>
      <c r="B21" s="215"/>
      <c r="C21" s="176" t="s">
        <v>7</v>
      </c>
      <c r="D21"/>
      <c r="E21"/>
      <c r="F21"/>
    </row>
    <row r="22" spans="1:6" s="152" customFormat="1">
      <c r="A22"/>
      <c r="B22" s="215"/>
      <c r="C22" s="176"/>
      <c r="D22"/>
      <c r="E22"/>
      <c r="F22"/>
    </row>
    <row r="23" spans="1:6" s="152" customFormat="1">
      <c r="A23"/>
      <c r="B23" s="215"/>
      <c r="C23" s="176"/>
      <c r="D23"/>
      <c r="E23"/>
      <c r="F23"/>
    </row>
    <row r="24" spans="1:6" s="152" customFormat="1">
      <c r="A24"/>
      <c r="B24" s="215"/>
      <c r="C24"/>
      <c r="D24"/>
      <c r="E24"/>
      <c r="F24"/>
    </row>
    <row r="25" spans="1:6" s="152" customFormat="1">
      <c r="A25"/>
      <c r="B25" s="215"/>
      <c r="C25"/>
      <c r="D25"/>
      <c r="E25"/>
      <c r="F25"/>
    </row>
    <row r="26" spans="1:6" s="152" customFormat="1">
      <c r="A26"/>
      <c r="B26" s="215"/>
      <c r="C26"/>
      <c r="D26"/>
      <c r="E26"/>
      <c r="F26"/>
    </row>
    <row r="27" spans="1:6" s="152" customFormat="1">
      <c r="A27"/>
      <c r="B27" s="215"/>
      <c r="C27"/>
      <c r="D27"/>
      <c r="E27"/>
      <c r="F27"/>
    </row>
    <row r="29" spans="1:6" s="152" customFormat="1">
      <c r="A29" s="153"/>
      <c r="B29" s="153"/>
    </row>
  </sheetData>
  <mergeCells count="2">
    <mergeCell ref="A5:F5"/>
    <mergeCell ref="A9:A12"/>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drawing r:id="rId2"/>
  <extLst>
    <ext xmlns:mx="http://schemas.microsoft.com/office/mac/excel/2008/main" uri="{64002731-A6B0-56B0-2670-7721B7C09600}">
      <mx:PLV Mode="1"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showGridLines="0" view="pageLayout" topLeftCell="A3" workbookViewId="0">
      <selection activeCell="A17" sqref="A17:F29"/>
    </sheetView>
  </sheetViews>
  <sheetFormatPr baseColWidth="10" defaultColWidth="10.69921875" defaultRowHeight="15.6"/>
  <cols>
    <col min="1" max="1" width="16.69921875" customWidth="1"/>
    <col min="2" max="6" width="18.19921875" customWidth="1"/>
    <col min="7" max="12" width="16.69921875" customWidth="1"/>
  </cols>
  <sheetData>
    <row r="2" spans="1:12">
      <c r="A2" s="143" t="s">
        <v>769</v>
      </c>
    </row>
    <row r="3" spans="1:12" ht="18">
      <c r="A3" s="53" t="str">
        <f>CONCATENATE(VLOOKUP($A$2,'Table of Contents'!$B:$E,4,FALSE)," ",$A$2)</f>
        <v>1.6 Sensitivity</v>
      </c>
    </row>
    <row r="5" spans="1:12">
      <c r="A5" t="s">
        <v>1351</v>
      </c>
      <c r="G5" s="217" t="s">
        <v>1371</v>
      </c>
    </row>
    <row r="7" spans="1:12" ht="15.75" customHeight="1">
      <c r="A7" s="219"/>
      <c r="B7" s="539" t="s">
        <v>846</v>
      </c>
      <c r="C7" s="539"/>
      <c r="D7" s="539"/>
      <c r="E7" s="539"/>
      <c r="F7" s="539"/>
      <c r="G7" s="219"/>
      <c r="H7" s="539" t="s">
        <v>847</v>
      </c>
      <c r="I7" s="539"/>
      <c r="J7" s="539"/>
      <c r="K7" s="539"/>
      <c r="L7" s="539"/>
    </row>
    <row r="8" spans="1:12" ht="31.2">
      <c r="A8" s="218" t="s">
        <v>689</v>
      </c>
      <c r="B8" s="222">
        <v>0</v>
      </c>
      <c r="C8" s="220">
        <v>500</v>
      </c>
      <c r="D8" s="220">
        <f>$C8*2</f>
        <v>1000</v>
      </c>
      <c r="E8" s="220">
        <f>$C8*3</f>
        <v>1500</v>
      </c>
      <c r="F8" s="220">
        <f>$C8*4</f>
        <v>2000</v>
      </c>
      <c r="G8" s="218" t="s">
        <v>843</v>
      </c>
      <c r="H8" s="138">
        <v>0</v>
      </c>
      <c r="I8" s="139">
        <v>500</v>
      </c>
      <c r="J8" s="139">
        <f>$C8*2</f>
        <v>1000</v>
      </c>
      <c r="K8" s="139">
        <f>$C8*3</f>
        <v>1500</v>
      </c>
      <c r="L8" s="139">
        <f>$C8*4</f>
        <v>2000</v>
      </c>
    </row>
    <row r="9" spans="1:12">
      <c r="A9" s="137">
        <v>0</v>
      </c>
      <c r="B9" s="223">
        <f>('1.3 Royalty Yield Summary 2016'!$D$8+B8)/(('1.3 Royalty Yield Summary 2016'!$F$8)*(1-A9))</f>
        <v>3.4179386691676861E-2</v>
      </c>
      <c r="C9" s="223">
        <f>('1.3 Royalty Yield Summary 2016'!$D$8+C8)/(('1.3 Royalty Yield Summary 2016'!$F$8)*(1-A9))</f>
        <v>3.5383596609549747E-2</v>
      </c>
      <c r="D9" s="223">
        <f>('1.3 Royalty Yield Summary 2016'!$D$8+D8)/(('1.3 Royalty Yield Summary 2016'!$F$8)*(1-A9))</f>
        <v>3.6587806527422627E-2</v>
      </c>
      <c r="E9" s="223">
        <f>('1.3 Royalty Yield Summary 2016'!$D$8+E8)/(('1.3 Royalty Yield Summary 2016'!$F$8)*(1-A9))</f>
        <v>3.7792016445295513E-2</v>
      </c>
      <c r="F9" s="223">
        <f>('1.3 Royalty Yield Summary 2016'!$D$8+F8)/(('1.3 Royalty Yield Summary 2016'!$F$8)*(1-A9))</f>
        <v>3.89962263631684E-2</v>
      </c>
      <c r="G9" s="137">
        <v>0</v>
      </c>
      <c r="H9" s="223">
        <f>('1.3 Royalty Yield Summary 2016'!$D$8+H8)/(('1.3 Royalty Yield Summary 2016'!$E$8)*(1-G9))</f>
        <v>3.3384199360741357E-2</v>
      </c>
      <c r="I9" s="223">
        <f>('1.3 Royalty Yield Summary 2016'!$D$8+I8)/(('1.3 Royalty Yield Summary 2016'!$E$8)*(1-G9))</f>
        <v>3.4560393197485648E-2</v>
      </c>
      <c r="J9" s="223">
        <f>('1.3 Royalty Yield Summary 2016'!$D$8+J8)/(('1.3 Royalty Yield Summary 2016'!$E$8)*(1-G9))</f>
        <v>3.5736587034229945E-2</v>
      </c>
      <c r="K9" s="223">
        <f>('1.3 Royalty Yield Summary 2016'!$D$8+K8)/(('1.3 Royalty Yield Summary 2016'!$E$8)*(1-G9))</f>
        <v>3.6912780870974243E-2</v>
      </c>
      <c r="L9" s="223">
        <f>('1.3 Royalty Yield Summary 2016'!$D$8+L8)/(('1.3 Royalty Yield Summary 2016'!$E$8)*(1-G9))</f>
        <v>3.8088974707718534E-2</v>
      </c>
    </row>
    <row r="10" spans="1:12">
      <c r="A10" s="137">
        <f>A9+0.05</f>
        <v>0.05</v>
      </c>
      <c r="B10" s="223">
        <f>('1.3 Royalty Yield Summary 2016'!$D$8+B8)/(('1.3 Royalty Yield Summary 2016'!$F$8)*(1-A10))</f>
        <v>3.5978301780712485E-2</v>
      </c>
      <c r="C10" s="223">
        <f>('1.3 Royalty Yield Summary 2016'!$D$8+C8)/(('1.3 Royalty Yield Summary 2016'!$F$8)*(1-A10))</f>
        <v>3.7245891167947104E-2</v>
      </c>
      <c r="D10" s="223">
        <f>('1.3 Royalty Yield Summary 2016'!$D$8+D8)/(('1.3 Royalty Yield Summary 2016'!$F$8)*(1-A10))</f>
        <v>3.8513480555181716E-2</v>
      </c>
      <c r="E10" s="223">
        <f>('1.3 Royalty Yield Summary 2016'!$D$8+E8)/(('1.3 Royalty Yield Summary 2016'!$F$8)*(1-A10))</f>
        <v>3.9781069942416328E-2</v>
      </c>
      <c r="F10" s="223">
        <f>('1.3 Royalty Yield Summary 2016'!$D$8+F8)/(('1.3 Royalty Yield Summary 2016'!$F$8)*(1-A10))</f>
        <v>4.1048659329650947E-2</v>
      </c>
      <c r="G10" s="137">
        <f>G9+0.05</f>
        <v>0.05</v>
      </c>
      <c r="H10" s="223">
        <f>('1.3 Royalty Yield Summary 2016'!$D$8+H8)/(('1.3 Royalty Yield Summary 2016'!$E$8)*(1-G10))</f>
        <v>3.5141262484990901E-2</v>
      </c>
      <c r="I10" s="223">
        <f>('1.3 Royalty Yield Summary 2016'!$D$8+I8)/(('1.3 Royalty Yield Summary 2016'!$E$8)*(1-G10))</f>
        <v>3.6379361260511209E-2</v>
      </c>
      <c r="J10" s="223">
        <f>('1.3 Royalty Yield Summary 2016'!$D$8+J8)/(('1.3 Royalty Yield Summary 2016'!$E$8)*(1-G10))</f>
        <v>3.7617460036031523E-2</v>
      </c>
      <c r="K10" s="223">
        <f>('1.3 Royalty Yield Summary 2016'!$D$8+K8)/(('1.3 Royalty Yield Summary 2016'!$E$8)*(1-G10))</f>
        <v>3.8855558811551831E-2</v>
      </c>
      <c r="L10" s="223">
        <f>('1.3 Royalty Yield Summary 2016'!$D$8+L8)/(('1.3 Royalty Yield Summary 2016'!$E$8)*(1-G10))</f>
        <v>4.0093657587072146E-2</v>
      </c>
    </row>
    <row r="11" spans="1:12">
      <c r="A11" s="137">
        <f t="shared" ref="A11:A15" si="0">A10+0.05</f>
        <v>0.1</v>
      </c>
      <c r="B11" s="223">
        <f>('1.3 Royalty Yield Summary 2016'!$D$8+B8)/(('1.3 Royalty Yield Summary 2016'!$F$8)*(1-A11))</f>
        <v>3.7977096324085406E-2</v>
      </c>
      <c r="C11" s="223">
        <f>('1.3 Royalty Yield Summary 2016'!$D$8+C8)/(('1.3 Royalty Yield Summary 2016'!$F$8)*(1-A11))</f>
        <v>3.931510734394416E-2</v>
      </c>
      <c r="D11" s="223">
        <f>('1.3 Royalty Yield Summary 2016'!$D$8+D8)/(('1.3 Royalty Yield Summary 2016'!$F$8)*(1-A11))</f>
        <v>4.065311836380292E-2</v>
      </c>
      <c r="E11" s="223">
        <f>('1.3 Royalty Yield Summary 2016'!$D$8+E8)/(('1.3 Royalty Yield Summary 2016'!$F$8)*(1-A11))</f>
        <v>4.1991129383661681E-2</v>
      </c>
      <c r="F11" s="223">
        <f>('1.3 Royalty Yield Summary 2016'!$D$8+F8)/(('1.3 Royalty Yield Summary 2016'!$F$8)*(1-A11))</f>
        <v>4.3329140403520441E-2</v>
      </c>
      <c r="G11" s="137">
        <f t="shared" ref="G11:G15" si="1">G10+0.05</f>
        <v>0.1</v>
      </c>
      <c r="H11" s="223">
        <f>('1.3 Royalty Yield Summary 2016'!$D$8+H8)/(('1.3 Royalty Yield Summary 2016'!$E$8)*(1-G11))</f>
        <v>3.7093554845268176E-2</v>
      </c>
      <c r="I11" s="223">
        <f>('1.3 Royalty Yield Summary 2016'!$D$8+I8)/(('1.3 Royalty Yield Summary 2016'!$E$8)*(1-G11))</f>
        <v>3.8400436886095166E-2</v>
      </c>
      <c r="J11" s="223">
        <f>('1.3 Royalty Yield Summary 2016'!$D$8+J8)/(('1.3 Royalty Yield Summary 2016'!$E$8)*(1-G11))</f>
        <v>3.9707318926922162E-2</v>
      </c>
      <c r="K11" s="223">
        <f>('1.3 Royalty Yield Summary 2016'!$D$8+K8)/(('1.3 Royalty Yield Summary 2016'!$E$8)*(1-G11))</f>
        <v>4.1014200967749159E-2</v>
      </c>
      <c r="L11" s="223">
        <f>('1.3 Royalty Yield Summary 2016'!$D$8+L8)/(('1.3 Royalty Yield Summary 2016'!$E$8)*(1-G11))</f>
        <v>4.2321083008576156E-2</v>
      </c>
    </row>
    <row r="12" spans="1:12">
      <c r="A12" s="137">
        <f t="shared" si="0"/>
        <v>0.15000000000000002</v>
      </c>
      <c r="B12" s="223">
        <f>('1.3 Royalty Yield Summary 2016'!$D$8+B8)/(('1.3 Royalty Yield Summary 2016'!$F$8)*(1-A12))</f>
        <v>4.0211043166678659E-2</v>
      </c>
      <c r="C12" s="223">
        <f>('1.3 Royalty Yield Summary 2016'!$D$8+C8)/(('1.3 Royalty Yield Summary 2016'!$F$8)*(1-A12))</f>
        <v>4.1627760717117351E-2</v>
      </c>
      <c r="D12" s="223">
        <f>('1.3 Royalty Yield Summary 2016'!$D$8+D8)/(('1.3 Royalty Yield Summary 2016'!$F$8)*(1-A12))</f>
        <v>4.3044478267556037E-2</v>
      </c>
      <c r="E12" s="223">
        <f>('1.3 Royalty Yield Summary 2016'!$D$8+E8)/(('1.3 Royalty Yield Summary 2016'!$F$8)*(1-A12))</f>
        <v>4.4461195817994723E-2</v>
      </c>
      <c r="F12" s="223">
        <f>('1.3 Royalty Yield Summary 2016'!$D$8+F8)/(('1.3 Royalty Yield Summary 2016'!$F$8)*(1-A12))</f>
        <v>4.5877913368433408E-2</v>
      </c>
      <c r="G12" s="137">
        <f t="shared" si="1"/>
        <v>0.15000000000000002</v>
      </c>
      <c r="H12" s="223">
        <f>('1.3 Royalty Yield Summary 2016'!$D$8+H8)/(('1.3 Royalty Yield Summary 2016'!$E$8)*(1-G12))</f>
        <v>3.9275528659695712E-2</v>
      </c>
      <c r="I12" s="223">
        <f>('1.3 Royalty Yield Summary 2016'!$D$8+I8)/(('1.3 Royalty Yield Summary 2016'!$E$8)*(1-G12))</f>
        <v>4.0659286114689004E-2</v>
      </c>
      <c r="J12" s="223">
        <f>('1.3 Royalty Yield Summary 2016'!$D$8+J8)/(('1.3 Royalty Yield Summary 2016'!$E$8)*(1-G12))</f>
        <v>4.204304356968229E-2</v>
      </c>
      <c r="K12" s="223">
        <f>('1.3 Royalty Yield Summary 2016'!$D$8+K8)/(('1.3 Royalty Yield Summary 2016'!$E$8)*(1-G12))</f>
        <v>4.3426801024675582E-2</v>
      </c>
      <c r="L12" s="223">
        <f>('1.3 Royalty Yield Summary 2016'!$D$8+L8)/(('1.3 Royalty Yield Summary 2016'!$E$8)*(1-G12))</f>
        <v>4.4810558479668867E-2</v>
      </c>
    </row>
    <row r="13" spans="1:12">
      <c r="A13" s="137">
        <f t="shared" si="0"/>
        <v>0.2</v>
      </c>
      <c r="B13" s="223">
        <f>('1.3 Royalty Yield Summary 2016'!$D$8+B8)/(('1.3 Royalty Yield Summary 2016'!$F$8)*(1-A13))</f>
        <v>4.2724233364596076E-2</v>
      </c>
      <c r="C13" s="223">
        <f>('1.3 Royalty Yield Summary 2016'!$D$8+C8)/(('1.3 Royalty Yield Summary 2016'!$F$8)*(1-A13))</f>
        <v>4.4229495761937181E-2</v>
      </c>
      <c r="D13" s="223">
        <f>('1.3 Royalty Yield Summary 2016'!$D$8+D8)/(('1.3 Royalty Yield Summary 2016'!$F$8)*(1-A13))</f>
        <v>4.5734758159278285E-2</v>
      </c>
      <c r="E13" s="223">
        <f>('1.3 Royalty Yield Summary 2016'!$D$8+E8)/(('1.3 Royalty Yield Summary 2016'!$F$8)*(1-A13))</f>
        <v>4.724002055661939E-2</v>
      </c>
      <c r="F13" s="223">
        <f>('1.3 Royalty Yield Summary 2016'!$D$8+F8)/(('1.3 Royalty Yield Summary 2016'!$F$8)*(1-A13))</f>
        <v>4.8745282953960495E-2</v>
      </c>
      <c r="G13" s="137">
        <f t="shared" si="1"/>
        <v>0.2</v>
      </c>
      <c r="H13" s="223">
        <f>('1.3 Royalty Yield Summary 2016'!$D$8+H8)/(('1.3 Royalty Yield Summary 2016'!$E$8)*(1-G13))</f>
        <v>4.1730249200926696E-2</v>
      </c>
      <c r="I13" s="223">
        <f>('1.3 Royalty Yield Summary 2016'!$D$8+I8)/(('1.3 Royalty Yield Summary 2016'!$E$8)*(1-G13))</f>
        <v>4.3200491496857063E-2</v>
      </c>
      <c r="J13" s="223">
        <f>('1.3 Royalty Yield Summary 2016'!$D$8+J8)/(('1.3 Royalty Yield Summary 2016'!$E$8)*(1-G13))</f>
        <v>4.467073379278743E-2</v>
      </c>
      <c r="K13" s="223">
        <f>('1.3 Royalty Yield Summary 2016'!$D$8+K8)/(('1.3 Royalty Yield Summary 2016'!$E$8)*(1-G13))</f>
        <v>4.6140976088717804E-2</v>
      </c>
      <c r="L13" s="223">
        <f>('1.3 Royalty Yield Summary 2016'!$D$8+L8)/(('1.3 Royalty Yield Summary 2016'!$E$8)*(1-G13))</f>
        <v>4.7611218384648171E-2</v>
      </c>
    </row>
    <row r="14" spans="1:12">
      <c r="A14" s="137">
        <f t="shared" si="0"/>
        <v>0.25</v>
      </c>
      <c r="B14" s="223">
        <f>('1.3 Royalty Yield Summary 2016'!$D$8+B8)/(('1.3 Royalty Yield Summary 2016'!$F$8)*(1-A14))</f>
        <v>4.5572515588902483E-2</v>
      </c>
      <c r="C14" s="223">
        <f>('1.3 Royalty Yield Summary 2016'!$D$8+C8)/(('1.3 Royalty Yield Summary 2016'!$F$8)*(1-A14))</f>
        <v>4.7178128812732999E-2</v>
      </c>
      <c r="D14" s="223">
        <f>('1.3 Royalty Yield Summary 2016'!$D$8+D8)/(('1.3 Royalty Yield Summary 2016'!$F$8)*(1-A14))</f>
        <v>4.8783742036563507E-2</v>
      </c>
      <c r="E14" s="223">
        <f>('1.3 Royalty Yield Summary 2016'!$D$8+E8)/(('1.3 Royalty Yield Summary 2016'!$F$8)*(1-A14))</f>
        <v>5.0389355260394016E-2</v>
      </c>
      <c r="F14" s="223">
        <f>('1.3 Royalty Yield Summary 2016'!$D$8+F8)/(('1.3 Royalty Yield Summary 2016'!$F$8)*(1-A14))</f>
        <v>5.1994968484224531E-2</v>
      </c>
      <c r="G14" s="137">
        <f t="shared" si="1"/>
        <v>0.25</v>
      </c>
      <c r="H14" s="223">
        <f>('1.3 Royalty Yield Summary 2016'!$D$8+H8)/(('1.3 Royalty Yield Summary 2016'!$E$8)*(1-G14))</f>
        <v>4.4512265814321807E-2</v>
      </c>
      <c r="I14" s="223">
        <f>('1.3 Royalty Yield Summary 2016'!$D$8+I8)/(('1.3 Royalty Yield Summary 2016'!$E$8)*(1-G14))</f>
        <v>4.6080524263314201E-2</v>
      </c>
      <c r="J14" s="223">
        <f>('1.3 Royalty Yield Summary 2016'!$D$8+J8)/(('1.3 Royalty Yield Summary 2016'!$E$8)*(1-G14))</f>
        <v>4.7648782712306596E-2</v>
      </c>
      <c r="K14" s="223">
        <f>('1.3 Royalty Yield Summary 2016'!$D$8+K8)/(('1.3 Royalty Yield Summary 2016'!$E$8)*(1-G14))</f>
        <v>4.9217041161298991E-2</v>
      </c>
      <c r="L14" s="223">
        <f>('1.3 Royalty Yield Summary 2016'!$D$8+L8)/(('1.3 Royalty Yield Summary 2016'!$E$8)*(1-G14))</f>
        <v>5.0785299610291386E-2</v>
      </c>
    </row>
    <row r="15" spans="1:12">
      <c r="A15" s="137">
        <f t="shared" si="0"/>
        <v>0.3</v>
      </c>
      <c r="B15" s="223">
        <f>('1.3 Royalty Yield Summary 2016'!$D$8+B8)/(('1.3 Royalty Yield Summary 2016'!$F$8)*(1-A15))</f>
        <v>4.8827695273824093E-2</v>
      </c>
      <c r="C15" s="223">
        <f>('1.3 Royalty Yield Summary 2016'!$D$8+C8)/(('1.3 Royalty Yield Summary 2016'!$F$8)*(1-A15))</f>
        <v>5.0547995156499638E-2</v>
      </c>
      <c r="D15" s="223">
        <f>('1.3 Royalty Yield Summary 2016'!$D$8+D8)/(('1.3 Royalty Yield Summary 2016'!$F$8)*(1-A15))</f>
        <v>5.2268295039175183E-2</v>
      </c>
      <c r="E15" s="223">
        <f>('1.3 Royalty Yield Summary 2016'!$D$8+E8)/(('1.3 Royalty Yield Summary 2016'!$F$8)*(1-A15))</f>
        <v>5.3988594921850735E-2</v>
      </c>
      <c r="F15" s="223">
        <f>('1.3 Royalty Yield Summary 2016'!$D$8+F8)/(('1.3 Royalty Yield Summary 2016'!$F$8)*(1-A15))</f>
        <v>5.5708894804526281E-2</v>
      </c>
      <c r="G15" s="137">
        <f t="shared" si="1"/>
        <v>0.3</v>
      </c>
      <c r="H15" s="223">
        <f>('1.3 Royalty Yield Summary 2016'!$D$8+H8)/(('1.3 Royalty Yield Summary 2016'!$E$8)*(1-G15))</f>
        <v>4.7691713372487649E-2</v>
      </c>
      <c r="I15" s="223">
        <f>('1.3 Royalty Yield Summary 2016'!$D$8+I8)/(('1.3 Royalty Yield Summary 2016'!$E$8)*(1-G15))</f>
        <v>4.9371990282122358E-2</v>
      </c>
      <c r="J15" s="223">
        <f>('1.3 Royalty Yield Summary 2016'!$D$8+J8)/(('1.3 Royalty Yield Summary 2016'!$E$8)*(1-G15))</f>
        <v>5.1052267191757067E-2</v>
      </c>
      <c r="K15" s="223">
        <f>('1.3 Royalty Yield Summary 2016'!$D$8+K8)/(('1.3 Royalty Yield Summary 2016'!$E$8)*(1-G15))</f>
        <v>5.2732544101391776E-2</v>
      </c>
      <c r="L15" s="223">
        <f>('1.3 Royalty Yield Summary 2016'!$D$8+L8)/(('1.3 Royalty Yield Summary 2016'!$E$8)*(1-G15))</f>
        <v>5.4412821011026485E-2</v>
      </c>
    </row>
    <row r="17" spans="1:6">
      <c r="A17" s="538" t="s">
        <v>1423</v>
      </c>
      <c r="B17" s="538"/>
      <c r="C17" s="538"/>
      <c r="D17" s="538"/>
      <c r="E17" s="538"/>
      <c r="F17" s="538"/>
    </row>
    <row r="18" spans="1:6">
      <c r="A18" s="538"/>
      <c r="B18" s="538"/>
      <c r="C18" s="538"/>
      <c r="D18" s="538"/>
      <c r="E18" s="538"/>
      <c r="F18" s="538"/>
    </row>
    <row r="19" spans="1:6">
      <c r="A19" s="538"/>
      <c r="B19" s="538"/>
      <c r="C19" s="538"/>
      <c r="D19" s="538"/>
      <c r="E19" s="538"/>
      <c r="F19" s="538"/>
    </row>
    <row r="20" spans="1:6">
      <c r="A20" s="538"/>
      <c r="B20" s="538"/>
      <c r="C20" s="538"/>
      <c r="D20" s="538"/>
      <c r="E20" s="538"/>
      <c r="F20" s="538"/>
    </row>
    <row r="21" spans="1:6">
      <c r="A21" s="538"/>
      <c r="B21" s="538"/>
      <c r="C21" s="538"/>
      <c r="D21" s="538"/>
      <c r="E21" s="538"/>
      <c r="F21" s="538"/>
    </row>
    <row r="22" spans="1:6">
      <c r="A22" s="538"/>
      <c r="B22" s="538"/>
      <c r="C22" s="538"/>
      <c r="D22" s="538"/>
      <c r="E22" s="538"/>
      <c r="F22" s="538"/>
    </row>
    <row r="23" spans="1:6">
      <c r="A23" s="538"/>
      <c r="B23" s="538"/>
      <c r="C23" s="538"/>
      <c r="D23" s="538"/>
      <c r="E23" s="538"/>
      <c r="F23" s="538"/>
    </row>
    <row r="24" spans="1:6">
      <c r="A24" s="538"/>
      <c r="B24" s="538"/>
      <c r="C24" s="538"/>
      <c r="D24" s="538"/>
      <c r="E24" s="538"/>
      <c r="F24" s="538"/>
    </row>
    <row r="25" spans="1:6">
      <c r="A25" s="538"/>
      <c r="B25" s="538"/>
      <c r="C25" s="538"/>
      <c r="D25" s="538"/>
      <c r="E25" s="538"/>
      <c r="F25" s="538"/>
    </row>
    <row r="26" spans="1:6">
      <c r="A26" s="538"/>
      <c r="B26" s="538"/>
      <c r="C26" s="538"/>
      <c r="D26" s="538"/>
      <c r="E26" s="538"/>
      <c r="F26" s="538"/>
    </row>
    <row r="27" spans="1:6">
      <c r="A27" s="538"/>
      <c r="B27" s="538"/>
      <c r="C27" s="538"/>
      <c r="D27" s="538"/>
      <c r="E27" s="538"/>
      <c r="F27" s="538"/>
    </row>
    <row r="28" spans="1:6">
      <c r="A28" s="538"/>
      <c r="B28" s="538"/>
      <c r="C28" s="538"/>
      <c r="D28" s="538"/>
      <c r="E28" s="538"/>
      <c r="F28" s="538"/>
    </row>
    <row r="29" spans="1:6" ht="33" customHeight="1">
      <c r="A29" s="538"/>
      <c r="B29" s="538"/>
      <c r="C29" s="538"/>
      <c r="D29" s="538"/>
      <c r="E29" s="538"/>
      <c r="F29" s="538"/>
    </row>
  </sheetData>
  <mergeCells count="3">
    <mergeCell ref="A17:F29"/>
    <mergeCell ref="B7:F7"/>
    <mergeCell ref="H7:L7"/>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48"/>
  <sheetViews>
    <sheetView showGridLines="0" tabSelected="1" view="pageLayout" topLeftCell="AS1" zoomScale="86" zoomScalePageLayoutView="86" workbookViewId="0">
      <selection activeCell="AX12" sqref="AX12"/>
    </sheetView>
  </sheetViews>
  <sheetFormatPr baseColWidth="10" defaultRowHeight="15.6"/>
  <cols>
    <col min="1" max="1" width="13.69921875" customWidth="1"/>
    <col min="2" max="5" width="19.5" customWidth="1"/>
    <col min="6" max="6" width="15.296875" bestFit="1" customWidth="1"/>
    <col min="7" max="7" width="16.5" customWidth="1"/>
    <col min="8" max="8" width="15.09765625" customWidth="1"/>
    <col min="9" max="9" width="14" customWidth="1"/>
    <col min="10" max="10" width="14.796875" customWidth="1"/>
    <col min="11" max="11" width="17.69921875" customWidth="1"/>
    <col min="12" max="13" width="14" customWidth="1"/>
    <col min="14" max="14" width="17.5" customWidth="1"/>
    <col min="15" max="15" width="14.19921875" customWidth="1"/>
    <col min="16" max="19" width="14" customWidth="1"/>
    <col min="20" max="20" width="14.19921875" customWidth="1"/>
    <col min="21" max="21" width="13.09765625" customWidth="1"/>
    <col min="22" max="22" width="14.69921875" customWidth="1"/>
    <col min="23" max="23" width="13.5" customWidth="1"/>
    <col min="24" max="24" width="15.296875" customWidth="1"/>
    <col min="25" max="25" width="13" customWidth="1"/>
    <col min="26" max="26" width="15.296875" customWidth="1"/>
    <col min="27" max="27" width="13.5" customWidth="1"/>
    <col min="28" max="28" width="11.3984375" customWidth="1"/>
    <col min="29" max="30" width="12.796875" customWidth="1"/>
    <col min="31" max="31" width="16.796875" customWidth="1"/>
    <col min="32" max="33" width="12.796875" customWidth="1"/>
    <col min="34" max="34" width="12.796875" style="262" customWidth="1"/>
    <col min="35" max="35" width="12.796875" style="331" customWidth="1"/>
    <col min="36" max="36" width="13.796875" style="262" customWidth="1"/>
    <col min="37" max="37" width="12.796875" style="331" customWidth="1"/>
    <col min="38" max="38" width="12.19921875" style="331" customWidth="1"/>
    <col min="39" max="39" width="16.69921875" style="262" customWidth="1"/>
    <col min="40" max="40" width="16.796875" style="262" customWidth="1"/>
    <col min="41" max="41" width="12.5" style="262" customWidth="1"/>
    <col min="42" max="42" width="20.796875" customWidth="1"/>
    <col min="43" max="43" width="15.59765625" style="360" customWidth="1"/>
    <col min="44" max="44" width="16.69921875" customWidth="1"/>
    <col min="45" max="45" width="16.19921875" customWidth="1"/>
    <col min="46" max="46" width="15.8984375" customWidth="1"/>
    <col min="47" max="47" width="14.69921875" customWidth="1"/>
    <col min="48" max="48" width="9.8984375" style="531" customWidth="1"/>
    <col min="49" max="49" width="2.5" customWidth="1"/>
    <col min="50" max="50" width="27.8984375" style="360" customWidth="1"/>
    <col min="51" max="51" width="16.69921875" customWidth="1"/>
    <col min="52" max="52" width="14.5" customWidth="1"/>
    <col min="53" max="53" width="15.09765625" customWidth="1"/>
    <col min="54" max="54" width="7.796875" customWidth="1"/>
    <col min="55" max="55" width="15.296875" customWidth="1"/>
    <col min="56" max="56" width="14.296875" customWidth="1"/>
    <col min="59" max="59" width="16.69921875" customWidth="1"/>
    <col min="60" max="60" width="14.69921875" customWidth="1"/>
    <col min="61" max="61" width="14.796875" customWidth="1"/>
  </cols>
  <sheetData>
    <row r="2" spans="1:59">
      <c r="A2" s="143" t="s">
        <v>747</v>
      </c>
    </row>
    <row r="3" spans="1:59" ht="18">
      <c r="A3" s="53" t="str">
        <f>CONCATENATE(VLOOKUP($A$2,'Table of Contents'!$B:$E,4,FALSE)," ",$A$2)</f>
        <v>1.7 Revenues by Licensor</v>
      </c>
    </row>
    <row r="5" spans="1:59">
      <c r="A5" t="s">
        <v>780</v>
      </c>
    </row>
    <row r="6" spans="1:59" ht="31.2">
      <c r="B6" s="106" t="s">
        <v>430</v>
      </c>
      <c r="C6" s="106" t="s">
        <v>432</v>
      </c>
      <c r="D6" s="106" t="s">
        <v>5</v>
      </c>
      <c r="E6" s="146" t="s">
        <v>524</v>
      </c>
      <c r="F6" s="106" t="s">
        <v>431</v>
      </c>
      <c r="G6" s="146" t="s">
        <v>54</v>
      </c>
      <c r="H6" s="146" t="s">
        <v>267</v>
      </c>
      <c r="I6" s="146" t="s">
        <v>506</v>
      </c>
      <c r="J6" s="146" t="s">
        <v>507</v>
      </c>
      <c r="K6" s="146" t="s">
        <v>99</v>
      </c>
      <c r="L6" s="146" t="s">
        <v>888</v>
      </c>
      <c r="M6" s="146" t="s">
        <v>437</v>
      </c>
      <c r="N6" s="146" t="s">
        <v>504</v>
      </c>
      <c r="O6" s="146" t="s">
        <v>1401</v>
      </c>
      <c r="P6" s="106" t="s">
        <v>433</v>
      </c>
      <c r="Q6" s="146" t="s">
        <v>313</v>
      </c>
      <c r="R6" s="146" t="s">
        <v>434</v>
      </c>
      <c r="S6" s="146" t="s">
        <v>436</v>
      </c>
      <c r="T6" s="146" t="s">
        <v>893</v>
      </c>
      <c r="U6" s="146" t="s">
        <v>894</v>
      </c>
      <c r="V6" s="146" t="s">
        <v>892</v>
      </c>
      <c r="W6" s="146" t="s">
        <v>974</v>
      </c>
      <c r="X6" s="146" t="s">
        <v>509</v>
      </c>
      <c r="Y6" s="146" t="s">
        <v>508</v>
      </c>
      <c r="Z6" s="146" t="s">
        <v>312</v>
      </c>
      <c r="AA6" s="146" t="s">
        <v>525</v>
      </c>
      <c r="AB6" s="146" t="s">
        <v>734</v>
      </c>
      <c r="AC6" s="146" t="s">
        <v>427</v>
      </c>
      <c r="AD6" s="146" t="s">
        <v>891</v>
      </c>
      <c r="AE6" s="146" t="s">
        <v>736</v>
      </c>
      <c r="AF6" s="146" t="s">
        <v>971</v>
      </c>
      <c r="AG6" s="146" t="s">
        <v>969</v>
      </c>
      <c r="AH6" s="146" t="s">
        <v>970</v>
      </c>
      <c r="AI6" s="146" t="s">
        <v>739</v>
      </c>
      <c r="AJ6" s="146" t="s">
        <v>916</v>
      </c>
      <c r="AK6" s="146" t="s">
        <v>605</v>
      </c>
      <c r="AL6" s="146" t="s">
        <v>435</v>
      </c>
      <c r="AM6" s="146" t="s">
        <v>462</v>
      </c>
      <c r="AN6" s="146" t="s">
        <v>33</v>
      </c>
      <c r="AO6" s="146" t="s">
        <v>1044</v>
      </c>
    </row>
    <row r="7" spans="1:59" ht="17.25" customHeight="1">
      <c r="B7" s="274">
        <v>2.1</v>
      </c>
      <c r="C7" s="274">
        <v>2.2000000000000002</v>
      </c>
      <c r="D7" s="274">
        <v>2.2999999999999998</v>
      </c>
      <c r="E7" s="274" t="s">
        <v>523</v>
      </c>
      <c r="F7" s="274">
        <v>2.4</v>
      </c>
      <c r="G7" s="274">
        <v>2.5</v>
      </c>
      <c r="H7" s="274">
        <v>3.1</v>
      </c>
      <c r="I7" s="274">
        <v>3.2</v>
      </c>
      <c r="J7" s="274">
        <v>3.3</v>
      </c>
      <c r="K7" s="426">
        <v>3.4</v>
      </c>
      <c r="L7" s="274">
        <v>3.5</v>
      </c>
      <c r="M7" s="274">
        <v>3.6</v>
      </c>
      <c r="N7" s="274">
        <v>3.7</v>
      </c>
      <c r="O7" s="274">
        <v>3.8</v>
      </c>
      <c r="P7" s="427">
        <v>3.9</v>
      </c>
      <c r="Q7" s="427" t="s">
        <v>752</v>
      </c>
      <c r="R7" s="427" t="s">
        <v>753</v>
      </c>
      <c r="S7" s="427" t="s">
        <v>754</v>
      </c>
      <c r="T7" s="427" t="s">
        <v>967</v>
      </c>
      <c r="U7" s="427" t="s">
        <v>968</v>
      </c>
      <c r="V7" s="274" t="s">
        <v>972</v>
      </c>
      <c r="W7" s="427" t="s">
        <v>973</v>
      </c>
      <c r="X7" s="427" t="s">
        <v>1395</v>
      </c>
      <c r="Y7" s="274">
        <v>4.2</v>
      </c>
      <c r="Z7" s="274">
        <v>4.3</v>
      </c>
      <c r="AA7" s="274">
        <v>4.4000000000000004</v>
      </c>
      <c r="AB7" s="274">
        <v>4.5</v>
      </c>
      <c r="AC7" s="274">
        <v>4.5999999999999996</v>
      </c>
      <c r="AD7" s="274">
        <v>4.7</v>
      </c>
      <c r="AE7" s="274">
        <v>4.8</v>
      </c>
      <c r="AF7" s="274">
        <v>4.9000000000000004</v>
      </c>
      <c r="AG7" s="428">
        <v>4.0999999999999996</v>
      </c>
      <c r="AH7" s="274">
        <v>4.1100000000000003</v>
      </c>
      <c r="AI7" s="274">
        <v>5.0999999999999996</v>
      </c>
      <c r="AJ7" s="274">
        <v>5.2</v>
      </c>
      <c r="AK7" s="274">
        <v>5.3</v>
      </c>
      <c r="AL7" s="274">
        <v>5.4</v>
      </c>
      <c r="AM7" s="429">
        <v>5.5</v>
      </c>
      <c r="AN7" s="427">
        <v>5.6</v>
      </c>
      <c r="AO7" s="427">
        <v>5.7</v>
      </c>
    </row>
    <row r="8" spans="1:59" s="110" customFormat="1">
      <c r="B8" s="110">
        <v>1</v>
      </c>
      <c r="C8" s="216">
        <f>1+B8</f>
        <v>2</v>
      </c>
      <c r="D8" s="393">
        <f t="shared" ref="D8:AO8" si="0">1+C8</f>
        <v>3</v>
      </c>
      <c r="E8" s="393">
        <f t="shared" si="0"/>
        <v>4</v>
      </c>
      <c r="F8" s="393">
        <f t="shared" si="0"/>
        <v>5</v>
      </c>
      <c r="G8" s="393">
        <f t="shared" si="0"/>
        <v>6</v>
      </c>
      <c r="H8" s="393">
        <f t="shared" si="0"/>
        <v>7</v>
      </c>
      <c r="I8" s="393">
        <f t="shared" si="0"/>
        <v>8</v>
      </c>
      <c r="J8" s="393">
        <f t="shared" si="0"/>
        <v>9</v>
      </c>
      <c r="K8" s="393">
        <f t="shared" si="0"/>
        <v>10</v>
      </c>
      <c r="L8" s="393">
        <f t="shared" si="0"/>
        <v>11</v>
      </c>
      <c r="M8" s="393">
        <f t="shared" si="0"/>
        <v>12</v>
      </c>
      <c r="N8" s="393">
        <f t="shared" si="0"/>
        <v>13</v>
      </c>
      <c r="O8" s="393">
        <f t="shared" si="0"/>
        <v>14</v>
      </c>
      <c r="P8" s="393">
        <f t="shared" si="0"/>
        <v>15</v>
      </c>
      <c r="Q8" s="393">
        <f t="shared" si="0"/>
        <v>16</v>
      </c>
      <c r="R8" s="393">
        <f t="shared" si="0"/>
        <v>17</v>
      </c>
      <c r="S8" s="393">
        <f t="shared" si="0"/>
        <v>18</v>
      </c>
      <c r="T8" s="393">
        <f t="shared" si="0"/>
        <v>19</v>
      </c>
      <c r="U8" s="393">
        <f t="shared" si="0"/>
        <v>20</v>
      </c>
      <c r="V8" s="393">
        <f t="shared" si="0"/>
        <v>21</v>
      </c>
      <c r="W8" s="393">
        <f t="shared" si="0"/>
        <v>22</v>
      </c>
      <c r="X8" s="393">
        <f t="shared" si="0"/>
        <v>23</v>
      </c>
      <c r="Y8" s="393">
        <f t="shared" si="0"/>
        <v>24</v>
      </c>
      <c r="Z8" s="393">
        <f t="shared" si="0"/>
        <v>25</v>
      </c>
      <c r="AA8" s="393">
        <f t="shared" si="0"/>
        <v>26</v>
      </c>
      <c r="AB8" s="393">
        <f t="shared" si="0"/>
        <v>27</v>
      </c>
      <c r="AC8" s="393">
        <f t="shared" si="0"/>
        <v>28</v>
      </c>
      <c r="AD8" s="393">
        <f t="shared" si="0"/>
        <v>29</v>
      </c>
      <c r="AE8" s="393">
        <f t="shared" si="0"/>
        <v>30</v>
      </c>
      <c r="AF8" s="393">
        <f t="shared" si="0"/>
        <v>31</v>
      </c>
      <c r="AG8" s="393">
        <f t="shared" si="0"/>
        <v>32</v>
      </c>
      <c r="AH8" s="393">
        <f t="shared" si="0"/>
        <v>33</v>
      </c>
      <c r="AI8" s="393">
        <f t="shared" si="0"/>
        <v>34</v>
      </c>
      <c r="AJ8" s="393">
        <f t="shared" si="0"/>
        <v>35</v>
      </c>
      <c r="AK8" s="393">
        <f t="shared" si="0"/>
        <v>36</v>
      </c>
      <c r="AL8" s="393">
        <f t="shared" si="0"/>
        <v>37</v>
      </c>
      <c r="AM8" s="393">
        <f t="shared" si="0"/>
        <v>38</v>
      </c>
      <c r="AN8" s="393">
        <f t="shared" si="0"/>
        <v>39</v>
      </c>
      <c r="AO8" s="393">
        <f t="shared" si="0"/>
        <v>40</v>
      </c>
      <c r="AP8" s="49"/>
      <c r="AQ8" s="530"/>
      <c r="AR8" s="49"/>
      <c r="AS8" s="49"/>
      <c r="AT8" s="49"/>
      <c r="AU8" s="49"/>
      <c r="AV8" s="530"/>
      <c r="AW8" s="49"/>
      <c r="AX8" s="530"/>
      <c r="AY8" s="49"/>
      <c r="AZ8" s="49"/>
      <c r="BA8" s="49"/>
      <c r="BB8" s="49"/>
      <c r="BC8" s="49"/>
      <c r="BD8" s="49"/>
      <c r="BE8" s="49"/>
      <c r="BF8" s="49"/>
      <c r="BG8" s="49"/>
    </row>
    <row r="9" spans="1:59" s="49" customFormat="1">
      <c r="A9" s="49" t="s">
        <v>775</v>
      </c>
      <c r="B9" s="185">
        <f>$A13</f>
        <v>2000</v>
      </c>
      <c r="C9" s="185">
        <f>$A17</f>
        <v>2004</v>
      </c>
      <c r="D9" s="185">
        <f t="shared" ref="D9" si="1">$A22</f>
        <v>2009</v>
      </c>
      <c r="E9" s="185">
        <f>$A22</f>
        <v>2009</v>
      </c>
      <c r="F9" s="185">
        <f>$A17</f>
        <v>2004</v>
      </c>
      <c r="G9" s="185">
        <f>$A22</f>
        <v>2009</v>
      </c>
      <c r="H9" s="185">
        <f>$A28</f>
        <v>2015</v>
      </c>
      <c r="I9" s="185">
        <f>A22</f>
        <v>2009</v>
      </c>
      <c r="J9" s="185">
        <f>$A25</f>
        <v>2012</v>
      </c>
      <c r="K9" s="185">
        <v>2007</v>
      </c>
      <c r="L9" s="185">
        <f t="shared" ref="L9:N9" si="2">$A20</f>
        <v>2007</v>
      </c>
      <c r="M9" s="185">
        <f t="shared" si="2"/>
        <v>2007</v>
      </c>
      <c r="N9" s="185">
        <f t="shared" si="2"/>
        <v>2007</v>
      </c>
      <c r="O9" s="185">
        <f>$A20</f>
        <v>2007</v>
      </c>
      <c r="P9" s="185">
        <f>$A18</f>
        <v>2005</v>
      </c>
      <c r="Q9" s="185">
        <f>$A22</f>
        <v>2009</v>
      </c>
      <c r="R9" s="185">
        <f>$A20</f>
        <v>2007</v>
      </c>
      <c r="S9" s="185">
        <f>$A26</f>
        <v>2013</v>
      </c>
      <c r="T9" s="338">
        <v>2007</v>
      </c>
      <c r="U9" s="338">
        <v>2013</v>
      </c>
      <c r="V9" s="338">
        <v>2007</v>
      </c>
      <c r="W9" s="338">
        <v>2014</v>
      </c>
      <c r="X9" s="185">
        <v>2007</v>
      </c>
      <c r="Y9" s="185">
        <v>2015</v>
      </c>
      <c r="Z9" s="185">
        <v>2007</v>
      </c>
      <c r="AA9" s="185">
        <v>2007</v>
      </c>
      <c r="AB9" s="185">
        <v>2015</v>
      </c>
      <c r="AC9" s="185">
        <f t="shared" ref="AC9:AK9" si="3">$A28</f>
        <v>2015</v>
      </c>
      <c r="AD9" s="185">
        <f t="shared" ref="AD9" si="4">$A28</f>
        <v>2015</v>
      </c>
      <c r="AE9" s="185">
        <f t="shared" si="3"/>
        <v>2015</v>
      </c>
      <c r="AF9" s="185">
        <v>2016</v>
      </c>
      <c r="AG9" s="185">
        <v>2016</v>
      </c>
      <c r="AH9" s="185">
        <v>2017</v>
      </c>
      <c r="AI9" s="185">
        <f t="shared" si="3"/>
        <v>2015</v>
      </c>
      <c r="AJ9" s="185">
        <f t="shared" si="3"/>
        <v>2015</v>
      </c>
      <c r="AK9" s="185">
        <f t="shared" si="3"/>
        <v>2015</v>
      </c>
      <c r="AL9" s="185">
        <f>$A28</f>
        <v>2015</v>
      </c>
      <c r="AM9" s="185">
        <f t="shared" ref="AM9" si="5">$A13</f>
        <v>2000</v>
      </c>
      <c r="AN9" s="185">
        <f>A26</f>
        <v>2013</v>
      </c>
      <c r="AO9" s="338">
        <v>2007</v>
      </c>
      <c r="AQ9" s="530"/>
      <c r="AR9" s="6"/>
      <c r="AV9" s="530"/>
      <c r="AX9" s="530"/>
    </row>
    <row r="10" spans="1:59" s="49" customFormat="1" ht="16.05" customHeight="1">
      <c r="A10" s="49" t="s">
        <v>776</v>
      </c>
      <c r="B10" s="49" t="str">
        <f>VLOOKUP(B$6,'Table of Contents'!$B$25:$E$89,2,FALSE)</f>
        <v>Confirmed</v>
      </c>
      <c r="C10" s="180" t="str">
        <f>VLOOKUP(C$6,'Table of Contents'!$B$25:$E$89,2,FALSE)</f>
        <v>Confirmed</v>
      </c>
      <c r="D10" s="180" t="str">
        <f>VLOOKUP(D$6,'Table of Contents'!$B$25:$E$89,2,FALSE)</f>
        <v>Confirmed</v>
      </c>
      <c r="E10" s="180" t="str">
        <f>VLOOKUP(E$6,'Table of Contents'!$B$25:$E$89,2,FALSE)</f>
        <v>Confirmed</v>
      </c>
      <c r="F10" s="180" t="str">
        <f>VLOOKUP(F$6,'Table of Contents'!$B$25:$E$89,2,FALSE)</f>
        <v>Confirmed</v>
      </c>
      <c r="G10" s="180" t="str">
        <f>VLOOKUP(G$6,'Table of Contents'!$B$25:$E$89,2,FALSE)</f>
        <v>Documented</v>
      </c>
      <c r="H10" s="180" t="str">
        <f>VLOOKUP(H$6,'Table of Contents'!$B$25:$E$89,2,FALSE)</f>
        <v>Approximated</v>
      </c>
      <c r="I10" s="180" t="str">
        <f>VLOOKUP(I$6,'Table of Contents'!$B$25:$E$89,2,FALSE)</f>
        <v>Approximated</v>
      </c>
      <c r="J10" s="180" t="str">
        <f>VLOOKUP(J$6,'Table of Contents'!$B$25:$E$89,2,FALSE)</f>
        <v>Approximated</v>
      </c>
      <c r="K10" s="180" t="str">
        <f>VLOOKUP(K$6,'Table of Contents'!$B$25:$E$89,2,FALSE)</f>
        <v>Researched</v>
      </c>
      <c r="L10" s="180" t="str">
        <f>VLOOKUP(L$6,'Table of Contents'!$B$25:$E$89,2,FALSE)</f>
        <v>Approximated</v>
      </c>
      <c r="M10" s="180" t="str">
        <f>VLOOKUP(M$6,'Table of Contents'!$B$25:$E$89,2,FALSE)</f>
        <v>Approximated</v>
      </c>
      <c r="N10" s="180" t="str">
        <f>VLOOKUP(N$6,'Table of Contents'!$B$25:$E$89,2,FALSE)</f>
        <v>Approximated</v>
      </c>
      <c r="O10" s="180" t="str">
        <f>VLOOKUP(O$6,'Table of Contents'!$B$25:$E$89,2,FALSE)</f>
        <v>Approximated</v>
      </c>
      <c r="P10" s="180" t="str">
        <f>VLOOKUP(P$6,'Table of Contents'!$B$25:$E$89,2,FALSE)</f>
        <v>Confirmed</v>
      </c>
      <c r="Q10" s="180" t="str">
        <f>VLOOKUP(Q$6,'Table of Contents'!$B$25:$E$89,2,FALSE)</f>
        <v>Confirmed</v>
      </c>
      <c r="R10" s="180" t="str">
        <f>VLOOKUP(R$6,'Table of Contents'!$B$25:$E$89,2,FALSE)</f>
        <v>Confirmed</v>
      </c>
      <c r="S10" s="180" t="str">
        <f>VLOOKUP(S$6,'Table of Contents'!$B$25:$E$89,2,FALSE)</f>
        <v>Approximated</v>
      </c>
      <c r="T10" s="142" t="str">
        <f>VLOOKUP(T$6,'Table of Contents'!$B$25:$E$89,2,FALSE)</f>
        <v>Approximated</v>
      </c>
      <c r="U10" s="142" t="str">
        <f>VLOOKUP(U$6,'Table of Contents'!$B$25:$E$89,2,FALSE)</f>
        <v>Approximated</v>
      </c>
      <c r="V10" s="142" t="str">
        <f>VLOOKUP(V$6,'Table of Contents'!$B$25:$E$89,2,FALSE)</f>
        <v>Approximated</v>
      </c>
      <c r="W10" s="142" t="str">
        <f>VLOOKUP(W$6,'Table of Contents'!$B$25:$E$89,2,FALSE)</f>
        <v>Approximated</v>
      </c>
      <c r="X10" s="180" t="str">
        <f>VLOOKUP(X$6,'Table of Contents'!$B$25:$E$89,2,FALSE)</f>
        <v>Documented</v>
      </c>
      <c r="Y10" s="180" t="str">
        <f>VLOOKUP(Y$6,'Table of Contents'!$B$25:$E$89,2,FALSE)</f>
        <v>Approximated</v>
      </c>
      <c r="Z10" s="180" t="str">
        <f>VLOOKUP(Z$6,'Table of Contents'!$B$25:$E$89,2,FALSE)</f>
        <v>Documented</v>
      </c>
      <c r="AA10" s="180" t="str">
        <f>VLOOKUP(AA$6,'Table of Contents'!$B$25:$E$89,2,FALSE)</f>
        <v>Documented</v>
      </c>
      <c r="AB10" s="180" t="str">
        <f>VLOOKUP(AB$6,'Table of Contents'!$B$25:$E$89,2,FALSE)</f>
        <v>Researched</v>
      </c>
      <c r="AC10" s="180" t="str">
        <f>VLOOKUP(AC$6,'Table of Contents'!$B$25:$E$89,2,FALSE)</f>
        <v>Researched</v>
      </c>
      <c r="AD10" s="180" t="str">
        <f>VLOOKUP(AD$6,'Table of Contents'!$B$25:$E$89,2,FALSE)</f>
        <v>Researched</v>
      </c>
      <c r="AE10" s="180" t="str">
        <f>VLOOKUP(AE$6,'Table of Contents'!$B$25:$E$89,2,FALSE)</f>
        <v>Researched</v>
      </c>
      <c r="AF10" s="261" t="str">
        <f>VLOOKUP(AF$6,'Table of Contents'!$B$25:$E$89,2,FALSE)</f>
        <v>Documented</v>
      </c>
      <c r="AG10" s="261" t="str">
        <f>VLOOKUP(AG$6,'Table of Contents'!$B$25:$E$89,2,FALSE)</f>
        <v>Documented</v>
      </c>
      <c r="AH10" s="261" t="str">
        <f>VLOOKUP(AH$6,'Table of Contents'!$B$25:$E$89,2,FALSE)</f>
        <v>Researched</v>
      </c>
      <c r="AI10" s="180" t="str">
        <f>VLOOKUP(AI$6,'Table of Contents'!$B$25:$E$89,2,FALSE)</f>
        <v>Researched</v>
      </c>
      <c r="AJ10" s="180" t="str">
        <f>VLOOKUP(AJ$6,'Table of Contents'!$B$25:$E$89,2,FALSE)</f>
        <v>Researched</v>
      </c>
      <c r="AK10" s="180" t="str">
        <f>VLOOKUP(AK$6,'Table of Contents'!$B$25:$E$89,2,FALSE)</f>
        <v>Researched</v>
      </c>
      <c r="AL10" s="180" t="str">
        <f>VLOOKUP(AL$6,'Table of Contents'!$B$25:$E$89,2,FALSE)</f>
        <v>Researched</v>
      </c>
      <c r="AM10" s="180" t="str">
        <f>VLOOKUP(AM$6,'Table of Contents'!$B$25:$E$89,2,FALSE)</f>
        <v>Researched</v>
      </c>
      <c r="AN10" s="180" t="str">
        <f>VLOOKUP(AN$6,'Table of Contents'!$B$25:$E$89,2,FALSE)</f>
        <v>Approximated</v>
      </c>
      <c r="AO10" s="142" t="str">
        <f>VLOOKUP(AO$6,'Table of Contents'!$B$25:$E$89,2,FALSE)</f>
        <v>Researched</v>
      </c>
      <c r="AP10" s="145"/>
      <c r="AQ10" s="145"/>
      <c r="AV10" s="530"/>
      <c r="AX10" s="530"/>
    </row>
    <row r="11" spans="1:59" s="49" customFormat="1">
      <c r="A11" s="49" t="s">
        <v>777</v>
      </c>
      <c r="B11" s="180" t="str">
        <f>VLOOKUP(B$6,'Table of Contents'!$B$25:$E$89,3,FALSE)</f>
        <v>Public Corp</v>
      </c>
      <c r="C11" s="180" t="str">
        <f>VLOOKUP(C$6,'Table of Contents'!$B$25:$E$89,3,FALSE)</f>
        <v>Public Corp</v>
      </c>
      <c r="D11" s="180" t="str">
        <f>VLOOKUP(D$6,'Table of Contents'!$B$25:$E$89,3,FALSE)</f>
        <v>Public Corp</v>
      </c>
      <c r="E11" s="180" t="str">
        <f>VLOOKUP(E$6,'Table of Contents'!$B$25:$E$89,3,FALSE)</f>
        <v>Public Corp</v>
      </c>
      <c r="F11" s="180" t="str">
        <f>VLOOKUP(F$6,'Table of Contents'!$B$25:$E$89,3,FALSE)</f>
        <v>Public Corp</v>
      </c>
      <c r="G11" s="180" t="str">
        <f>VLOOKUP(G$6,'Table of Contents'!$B$25:$E$89,3,FALSE)</f>
        <v>Public Corp</v>
      </c>
      <c r="H11" s="180" t="str">
        <f>VLOOKUP(H$6,'Table of Contents'!$B$25:$E$89,3,FALSE)</f>
        <v>Public Corp</v>
      </c>
      <c r="I11" s="180" t="str">
        <f>VLOOKUP(I$6,'Table of Contents'!$B$25:$E$89,3,FALSE)</f>
        <v>Public Corp</v>
      </c>
      <c r="J11" s="180" t="str">
        <f>VLOOKUP(J$6,'Table of Contents'!$B$25:$E$89,3,FALSE)</f>
        <v>Public Corp</v>
      </c>
      <c r="K11" s="180" t="str">
        <f>VLOOKUP(K$6,'Table of Contents'!$B$25:$E$89,3,FALSE)</f>
        <v>Public Corp</v>
      </c>
      <c r="L11" s="180" t="str">
        <f>VLOOKUP(L$6,'Table of Contents'!$B$25:$E$89,3,FALSE)</f>
        <v>Public Corp</v>
      </c>
      <c r="M11" s="180" t="str">
        <f>VLOOKUP(M$6,'Table of Contents'!$B$25:$E$89,3,FALSE)</f>
        <v>Public Corp</v>
      </c>
      <c r="N11" s="180" t="str">
        <f>VLOOKUP(N$6,'Table of Contents'!$B$25:$E$89,3,FALSE)</f>
        <v>Public Corp</v>
      </c>
      <c r="O11" s="180" t="str">
        <f>VLOOKUP(O$6,'Table of Contents'!$B$25:$E$89,3,FALSE)</f>
        <v>Public Corp</v>
      </c>
      <c r="P11" s="180" t="str">
        <f>VLOOKUP(P$6,'Table of Contents'!$B$25:$E$89,3,FALSE)</f>
        <v>Public Corp</v>
      </c>
      <c r="Q11" s="180" t="str">
        <f>VLOOKUP(Q$6,'Table of Contents'!$B$25:$E$89,3,FALSE)</f>
        <v>Public Corp</v>
      </c>
      <c r="R11" s="180" t="str">
        <f>VLOOKUP(R$6,'Table of Contents'!$B$25:$E$89,3,FALSE)</f>
        <v>Public Corp</v>
      </c>
      <c r="S11" s="180" t="str">
        <f>VLOOKUP(S$6,'Table of Contents'!$B$25:$E$89,3,FALSE)</f>
        <v>Public Corp</v>
      </c>
      <c r="T11" s="142" t="str">
        <f>VLOOKUP(T$6,'Table of Contents'!$B$25:$E$89,3,FALSE)</f>
        <v>Public Corp</v>
      </c>
      <c r="U11" s="142" t="str">
        <f>VLOOKUP(U$6,'Table of Contents'!$B$25:$E$89,3,FALSE)</f>
        <v>Public Corp</v>
      </c>
      <c r="V11" s="142" t="str">
        <f>VLOOKUP(V$6,'Table of Contents'!$B$25:$E$89,3,FALSE)</f>
        <v>Public Corp</v>
      </c>
      <c r="W11" s="142" t="str">
        <f>VLOOKUP(W$6,'Table of Contents'!$B$25:$E$89,3,FALSE)</f>
        <v>Public Corp</v>
      </c>
      <c r="X11" s="180" t="str">
        <f>VLOOKUP(X$6,'Table of Contents'!$B$25:$E$89,3,FALSE)</f>
        <v>Pool</v>
      </c>
      <c r="Y11" s="180" t="str">
        <f>VLOOKUP(Y$6,'Table of Contents'!$B$25:$E$89,3,FALSE)</f>
        <v>Pool</v>
      </c>
      <c r="Z11" s="180" t="str">
        <f>VLOOKUP(Z$6,'Table of Contents'!$B$25:$E$89,3,FALSE)</f>
        <v>Pool</v>
      </c>
      <c r="AA11" s="180" t="str">
        <f>VLOOKUP(AA$6,'Table of Contents'!$B$25:$E$89,3,FALSE)</f>
        <v>Pool</v>
      </c>
      <c r="AB11" s="180" t="str">
        <f>VLOOKUP(AB$6,'Table of Contents'!$B$25:$E$89,3,FALSE)</f>
        <v>Pool</v>
      </c>
      <c r="AC11" s="180" t="str">
        <f>VLOOKUP(AC$6,'Table of Contents'!$B$25:$E$89,3,FALSE)</f>
        <v>Pool</v>
      </c>
      <c r="AD11" s="180" t="str">
        <f>VLOOKUP(AD$6,'Table of Contents'!$B$25:$E$89,3,FALSE)</f>
        <v>Pool</v>
      </c>
      <c r="AE11" s="180" t="str">
        <f>VLOOKUP(AE$6,'Table of Contents'!$B$25:$E$89,3,FALSE)</f>
        <v>Pool</v>
      </c>
      <c r="AF11" s="261" t="str">
        <f>VLOOKUP(AF$6,'Table of Contents'!$B$25:$E$89,3,FALSE)</f>
        <v>Pool</v>
      </c>
      <c r="AG11" s="261" t="str">
        <f>VLOOKUP(AG$6,'Table of Contents'!$B$25:$E$89,3,FALSE)</f>
        <v>Pool</v>
      </c>
      <c r="AH11" s="261" t="str">
        <f>VLOOKUP(AH$6,'Table of Contents'!$B$25:$E$89,3,FALSE)</f>
        <v>Pool</v>
      </c>
      <c r="AI11" s="180" t="str">
        <f>VLOOKUP(AI$6,'Table of Contents'!$B$25:$E$89,3,FALSE)</f>
        <v>Private Corp</v>
      </c>
      <c r="AJ11" s="180" t="str">
        <f>VLOOKUP(AJ$6,'Table of Contents'!$B$25:$E$89,3,FALSE)</f>
        <v>Private Corp</v>
      </c>
      <c r="AK11" s="180" t="str">
        <f>VLOOKUP(AK$6,'Table of Contents'!$B$25:$E$89,3,FALSE)</f>
        <v>Private Corp</v>
      </c>
      <c r="AL11" s="180" t="str">
        <f>VLOOKUP(AL$6,'Table of Contents'!$B$25:$E$89,3,FALSE)</f>
        <v>Private Corp</v>
      </c>
      <c r="AM11" s="180" t="str">
        <f>VLOOKUP(AM$6,'Table of Contents'!$B$25:$E$89,3,FALSE)</f>
        <v>Private Corp</v>
      </c>
      <c r="AN11" s="180" t="str">
        <f>VLOOKUP(AN$6,'Table of Contents'!$B$25:$E$89,3,FALSE)</f>
        <v>Private Corp</v>
      </c>
      <c r="AO11" s="142" t="str">
        <f>VLOOKUP(AO$6,'Table of Contents'!$B$25:$E$89,3,FALSE)</f>
        <v>Private Corp</v>
      </c>
      <c r="AP11" s="145"/>
      <c r="AQ11" s="145"/>
      <c r="AR11" s="565" t="s">
        <v>779</v>
      </c>
      <c r="AS11" s="565"/>
      <c r="AT11" s="565"/>
      <c r="AU11" s="565"/>
      <c r="AV11" s="530"/>
      <c r="AX11" s="530"/>
    </row>
    <row r="12" spans="1:59" s="49" customFormat="1" ht="17.399999999999999">
      <c r="A12" s="106" t="s">
        <v>690</v>
      </c>
      <c r="AP12" s="150" t="s">
        <v>30</v>
      </c>
      <c r="AQ12" s="146"/>
      <c r="AR12" s="142" t="s">
        <v>480</v>
      </c>
      <c r="AS12" s="142" t="s">
        <v>499</v>
      </c>
      <c r="AT12" s="142" t="s">
        <v>604</v>
      </c>
      <c r="AU12" s="142" t="s">
        <v>603</v>
      </c>
      <c r="AV12" s="199" t="s">
        <v>1532</v>
      </c>
      <c r="AX12" s="530"/>
      <c r="AY12" s="142" t="s">
        <v>763</v>
      </c>
      <c r="AZ12" s="142" t="s">
        <v>764</v>
      </c>
      <c r="BA12" s="142" t="s">
        <v>765</v>
      </c>
      <c r="BB12" s="199" t="s">
        <v>1533</v>
      </c>
    </row>
    <row r="13" spans="1:59" s="6" customFormat="1">
      <c r="A13" s="111">
        <v>2000</v>
      </c>
      <c r="B13" s="140">
        <f>'2.1 Qualcomm'!B10</f>
        <v>705000000</v>
      </c>
      <c r="C13" s="140"/>
      <c r="D13" s="140"/>
      <c r="E13" s="140"/>
      <c r="F13" s="140"/>
      <c r="G13" s="140"/>
      <c r="H13" s="141"/>
      <c r="I13" s="141"/>
      <c r="J13" s="141"/>
      <c r="K13" s="141"/>
      <c r="L13" s="140"/>
      <c r="M13" s="140"/>
      <c r="N13" s="141"/>
      <c r="O13" s="141"/>
      <c r="P13" s="140"/>
      <c r="Q13" s="141"/>
      <c r="R13" s="140"/>
      <c r="S13" s="141"/>
      <c r="T13" s="141"/>
      <c r="U13" s="141"/>
      <c r="V13" s="141"/>
      <c r="W13" s="141"/>
      <c r="X13" s="141"/>
      <c r="Y13" s="229"/>
      <c r="Z13" s="229"/>
      <c r="AA13" s="141"/>
      <c r="AB13" s="141"/>
      <c r="AC13" s="140"/>
      <c r="AD13" s="140"/>
      <c r="AE13" s="141"/>
      <c r="AF13" s="141"/>
      <c r="AG13" s="141"/>
      <c r="AH13" s="141"/>
      <c r="AI13" s="141"/>
      <c r="AJ13" s="141"/>
      <c r="AK13" s="141"/>
      <c r="AL13" s="141"/>
      <c r="AM13" s="140">
        <f>0.33*130000000</f>
        <v>42900000</v>
      </c>
      <c r="AN13" s="140"/>
      <c r="AO13" s="141"/>
      <c r="AP13" s="151">
        <f t="shared" ref="AP13:AP27" si="6">SUM(B13:AO13)</f>
        <v>747900000</v>
      </c>
      <c r="AQ13" s="141"/>
      <c r="AR13" s="140">
        <f t="shared" ref="AR13:AU29" si="7">SUMIF($B$10:$AO$10,AR$12,$B13:$AO13)</f>
        <v>705000000</v>
      </c>
      <c r="AS13" s="140">
        <f t="shared" si="7"/>
        <v>0</v>
      </c>
      <c r="AT13" s="140">
        <f t="shared" si="7"/>
        <v>0</v>
      </c>
      <c r="AU13" s="140">
        <f t="shared" si="7"/>
        <v>42900000</v>
      </c>
      <c r="AV13" s="200">
        <f t="shared" ref="AV13:AV29" si="8">IF(SUM(AR13:AU13)-AP13=0,0,1)</f>
        <v>0</v>
      </c>
      <c r="AY13" s="140">
        <f t="shared" ref="AY13:BA27" si="9">SUMIF($B$11:$AO$11,AY$12,$B13:$AO13)</f>
        <v>705000000</v>
      </c>
      <c r="AZ13" s="140">
        <f t="shared" si="9"/>
        <v>42900000</v>
      </c>
      <c r="BA13" s="140">
        <f t="shared" si="9"/>
        <v>0</v>
      </c>
      <c r="BB13" s="200">
        <f>IF(SUM(AW13:BA13)-AP13=0,0,1)</f>
        <v>0</v>
      </c>
    </row>
    <row r="14" spans="1:59" s="6" customFormat="1">
      <c r="A14" s="111">
        <f t="shared" ref="A14:A28" si="10">A13+1</f>
        <v>2001</v>
      </c>
      <c r="B14" s="140">
        <f>'2.1 Qualcomm'!B11</f>
        <v>782000000</v>
      </c>
      <c r="C14" s="140"/>
      <c r="D14" s="140"/>
      <c r="E14" s="140"/>
      <c r="F14" s="140"/>
      <c r="G14" s="140"/>
      <c r="H14"/>
      <c r="I14"/>
      <c r="J14" s="141"/>
      <c r="K14"/>
      <c r="L14" s="140"/>
      <c r="M14" s="140"/>
      <c r="N14" s="141"/>
      <c r="O14" s="141"/>
      <c r="P14" s="140"/>
      <c r="Q14" s="141"/>
      <c r="R14" s="140"/>
      <c r="S14"/>
      <c r="T14" s="331"/>
      <c r="U14" s="262"/>
      <c r="V14" s="331"/>
      <c r="W14" s="262"/>
      <c r="X14"/>
      <c r="Y14" s="116"/>
      <c r="Z14" s="116"/>
      <c r="AA14"/>
      <c r="AB14"/>
      <c r="AC14"/>
      <c r="AD14"/>
      <c r="AE14"/>
      <c r="AF14" s="262"/>
      <c r="AG14" s="262"/>
      <c r="AH14" s="262"/>
      <c r="AI14"/>
      <c r="AJ14"/>
      <c r="AK14"/>
      <c r="AL14"/>
      <c r="AM14" s="140">
        <f t="shared" ref="AM14:AM22" si="11">0.33*130000000</f>
        <v>42900000</v>
      </c>
      <c r="AN14"/>
      <c r="AO14" s="331"/>
      <c r="AP14" s="151">
        <f t="shared" si="6"/>
        <v>824900000</v>
      </c>
      <c r="AQ14" s="141"/>
      <c r="AR14" s="140">
        <f t="shared" si="7"/>
        <v>782000000</v>
      </c>
      <c r="AS14" s="140">
        <f t="shared" si="7"/>
        <v>0</v>
      </c>
      <c r="AT14" s="140">
        <f t="shared" si="7"/>
        <v>0</v>
      </c>
      <c r="AU14" s="140">
        <f t="shared" si="7"/>
        <v>42900000</v>
      </c>
      <c r="AV14" s="200">
        <f t="shared" si="8"/>
        <v>0</v>
      </c>
      <c r="AY14" s="140">
        <f t="shared" si="9"/>
        <v>782000000</v>
      </c>
      <c r="AZ14" s="140">
        <f t="shared" si="9"/>
        <v>42900000</v>
      </c>
      <c r="BA14" s="140">
        <f t="shared" si="9"/>
        <v>0</v>
      </c>
      <c r="BB14" s="200">
        <f>IF(SUM(AW14:BA14)-AP14=0,0,1)</f>
        <v>0</v>
      </c>
    </row>
    <row r="15" spans="1:59" s="6" customFormat="1">
      <c r="A15" s="111">
        <f t="shared" si="10"/>
        <v>2002</v>
      </c>
      <c r="B15" s="140">
        <f>'2.1 Qualcomm'!B12</f>
        <v>847000000</v>
      </c>
      <c r="C15" s="140"/>
      <c r="D15" s="140"/>
      <c r="E15" s="140"/>
      <c r="F15" s="140"/>
      <c r="G15" s="140"/>
      <c r="H15"/>
      <c r="I15"/>
      <c r="J15" s="141"/>
      <c r="K15"/>
      <c r="L15" s="140"/>
      <c r="M15" s="140"/>
      <c r="N15" s="141"/>
      <c r="O15" s="141"/>
      <c r="P15" s="140"/>
      <c r="Q15" s="141"/>
      <c r="R15" s="140"/>
      <c r="S15"/>
      <c r="T15" s="331"/>
      <c r="U15" s="262"/>
      <c r="V15" s="331"/>
      <c r="W15" s="262"/>
      <c r="X15"/>
      <c r="Y15" s="116"/>
      <c r="Z15" s="116"/>
      <c r="AA15"/>
      <c r="AB15"/>
      <c r="AC15"/>
      <c r="AD15"/>
      <c r="AE15"/>
      <c r="AF15" s="262"/>
      <c r="AG15" s="262"/>
      <c r="AH15" s="262"/>
      <c r="AI15"/>
      <c r="AJ15"/>
      <c r="AK15"/>
      <c r="AL15"/>
      <c r="AM15" s="140">
        <f t="shared" si="11"/>
        <v>42900000</v>
      </c>
      <c r="AN15"/>
      <c r="AO15" s="331"/>
      <c r="AP15" s="151">
        <f t="shared" si="6"/>
        <v>889900000</v>
      </c>
      <c r="AQ15" s="141"/>
      <c r="AR15" s="140">
        <f t="shared" si="7"/>
        <v>847000000</v>
      </c>
      <c r="AS15" s="140">
        <f t="shared" si="7"/>
        <v>0</v>
      </c>
      <c r="AT15" s="140">
        <f t="shared" si="7"/>
        <v>0</v>
      </c>
      <c r="AU15" s="140">
        <f t="shared" si="7"/>
        <v>42900000</v>
      </c>
      <c r="AV15" s="200">
        <f t="shared" si="8"/>
        <v>0</v>
      </c>
      <c r="AY15" s="140">
        <f t="shared" si="9"/>
        <v>847000000</v>
      </c>
      <c r="AZ15" s="140">
        <f t="shared" si="9"/>
        <v>42900000</v>
      </c>
      <c r="BA15" s="140">
        <f t="shared" si="9"/>
        <v>0</v>
      </c>
      <c r="BB15" s="200">
        <f>IF(SUM(AW15:BA15)-AP15=0,0,1)</f>
        <v>0</v>
      </c>
    </row>
    <row r="16" spans="1:59" s="6" customFormat="1">
      <c r="A16" s="111">
        <f t="shared" si="10"/>
        <v>2003</v>
      </c>
      <c r="B16" s="140">
        <f>'2.1 Qualcomm'!B13</f>
        <v>1000000000</v>
      </c>
      <c r="C16" s="140"/>
      <c r="D16" s="140"/>
      <c r="E16" s="140"/>
      <c r="F16" s="140"/>
      <c r="G16" s="140"/>
      <c r="H16"/>
      <c r="I16"/>
      <c r="J16" s="141"/>
      <c r="K16"/>
      <c r="L16" s="140"/>
      <c r="M16" s="140"/>
      <c r="N16" s="141"/>
      <c r="O16" s="141"/>
      <c r="P16" s="140"/>
      <c r="Q16" s="141"/>
      <c r="R16" s="140"/>
      <c r="S16"/>
      <c r="T16" s="331"/>
      <c r="U16" s="262"/>
      <c r="V16" s="331"/>
      <c r="W16" s="262"/>
      <c r="X16"/>
      <c r="Y16" s="116"/>
      <c r="Z16" s="116"/>
      <c r="AA16"/>
      <c r="AB16"/>
      <c r="AC16"/>
      <c r="AD16"/>
      <c r="AE16"/>
      <c r="AF16" s="262"/>
      <c r="AG16" s="262"/>
      <c r="AH16" s="262"/>
      <c r="AI16"/>
      <c r="AJ16"/>
      <c r="AK16"/>
      <c r="AL16"/>
      <c r="AM16" s="140">
        <f t="shared" si="11"/>
        <v>42900000</v>
      </c>
      <c r="AN16"/>
      <c r="AO16" s="141"/>
      <c r="AP16" s="151">
        <f t="shared" si="6"/>
        <v>1042900000</v>
      </c>
      <c r="AQ16" s="141"/>
      <c r="AR16" s="140">
        <f t="shared" si="7"/>
        <v>1000000000</v>
      </c>
      <c r="AS16" s="140">
        <f t="shared" si="7"/>
        <v>0</v>
      </c>
      <c r="AT16" s="140">
        <f t="shared" si="7"/>
        <v>0</v>
      </c>
      <c r="AU16" s="140">
        <f t="shared" si="7"/>
        <v>42900000</v>
      </c>
      <c r="AV16" s="200">
        <f t="shared" si="8"/>
        <v>0</v>
      </c>
      <c r="AY16" s="140">
        <f t="shared" si="9"/>
        <v>1000000000</v>
      </c>
      <c r="AZ16" s="140">
        <f t="shared" si="9"/>
        <v>42900000</v>
      </c>
      <c r="BA16" s="140">
        <f t="shared" si="9"/>
        <v>0</v>
      </c>
      <c r="BB16" s="200">
        <f>IF(SUM(AW16:BA16)-AP16=0,0,1)</f>
        <v>0</v>
      </c>
    </row>
    <row r="17" spans="1:54" s="6" customFormat="1">
      <c r="A17" s="111">
        <f t="shared" si="10"/>
        <v>2004</v>
      </c>
      <c r="B17" s="140">
        <f>'2.1 Qualcomm'!B14</f>
        <v>1331000000</v>
      </c>
      <c r="C17" s="140">
        <f>'2.2 Ericsson'!I9</f>
        <v>339334424.4408074</v>
      </c>
      <c r="D17" s="140"/>
      <c r="E17" s="140"/>
      <c r="F17" s="140">
        <f>'2.4 Interdigital'!E10</f>
        <v>103400000</v>
      </c>
      <c r="G17" s="140"/>
      <c r="H17"/>
      <c r="I17"/>
      <c r="J17" s="141"/>
      <c r="K17"/>
      <c r="L17" s="140"/>
      <c r="M17" s="140"/>
      <c r="N17" s="141"/>
      <c r="O17" s="141"/>
      <c r="P17" s="140"/>
      <c r="Q17" s="141"/>
      <c r="R17" s="140"/>
      <c r="S17"/>
      <c r="T17" s="331"/>
      <c r="U17" s="262"/>
      <c r="V17" s="331"/>
      <c r="W17" s="262"/>
      <c r="X17"/>
      <c r="Y17" s="116"/>
      <c r="Z17" s="116"/>
      <c r="AA17"/>
      <c r="AB17"/>
      <c r="AC17"/>
      <c r="AD17"/>
      <c r="AE17"/>
      <c r="AF17" s="262"/>
      <c r="AG17" s="262"/>
      <c r="AH17" s="262"/>
      <c r="AI17"/>
      <c r="AJ17"/>
      <c r="AK17"/>
      <c r="AL17"/>
      <c r="AM17" s="140">
        <f t="shared" si="11"/>
        <v>42900000</v>
      </c>
      <c r="AN17"/>
      <c r="AO17" s="141"/>
      <c r="AP17" s="151">
        <f t="shared" si="6"/>
        <v>1816634424.4408073</v>
      </c>
      <c r="AQ17" s="141"/>
      <c r="AR17" s="140">
        <f t="shared" si="7"/>
        <v>1773734424.4408073</v>
      </c>
      <c r="AS17" s="140">
        <f t="shared" si="7"/>
        <v>0</v>
      </c>
      <c r="AT17" s="140">
        <f t="shared" si="7"/>
        <v>0</v>
      </c>
      <c r="AU17" s="140">
        <f t="shared" si="7"/>
        <v>42900000</v>
      </c>
      <c r="AV17" s="200">
        <f t="shared" si="8"/>
        <v>0</v>
      </c>
      <c r="AY17" s="140">
        <f t="shared" si="9"/>
        <v>1773734424.4408073</v>
      </c>
      <c r="AZ17" s="140">
        <f t="shared" si="9"/>
        <v>42900000</v>
      </c>
      <c r="BA17" s="140">
        <f t="shared" si="9"/>
        <v>0</v>
      </c>
      <c r="BB17" s="200">
        <f>IF(SUM(AW17:BA17)-AP17=0,0,1)</f>
        <v>0</v>
      </c>
    </row>
    <row r="18" spans="1:54" s="6" customFormat="1">
      <c r="A18" s="111">
        <f t="shared" si="10"/>
        <v>2005</v>
      </c>
      <c r="B18" s="140">
        <f>'2.1 Qualcomm'!B15</f>
        <v>1839000000</v>
      </c>
      <c r="C18" s="140">
        <f>'2.2 Ericsson'!I10</f>
        <v>517227617.40055871</v>
      </c>
      <c r="D18" s="140"/>
      <c r="E18" s="140"/>
      <c r="F18" s="140">
        <f>'2.4 Interdigital'!E11</f>
        <v>144100000</v>
      </c>
      <c r="G18" s="140"/>
      <c r="H18"/>
      <c r="I18"/>
      <c r="J18" s="141"/>
      <c r="K18"/>
      <c r="L18" s="140"/>
      <c r="M18" s="140"/>
      <c r="N18" s="141"/>
      <c r="O18" s="141"/>
      <c r="P18" s="140">
        <f>'3.9 Parkervision'!B13</f>
        <v>0</v>
      </c>
      <c r="Q18" s="141"/>
      <c r="R18" s="140"/>
      <c r="S18"/>
      <c r="T18" s="331"/>
      <c r="U18" s="262"/>
      <c r="V18" s="331"/>
      <c r="W18" s="262"/>
      <c r="X18"/>
      <c r="Y18" s="116"/>
      <c r="Z18" s="116"/>
      <c r="AA18"/>
      <c r="AB18"/>
      <c r="AC18"/>
      <c r="AD18"/>
      <c r="AE18"/>
      <c r="AF18" s="262"/>
      <c r="AG18" s="262"/>
      <c r="AH18" s="262"/>
      <c r="AI18"/>
      <c r="AJ18"/>
      <c r="AK18"/>
      <c r="AL18"/>
      <c r="AM18" s="140">
        <f t="shared" si="11"/>
        <v>42900000</v>
      </c>
      <c r="AN18"/>
      <c r="AO18" s="141"/>
      <c r="AP18" s="151">
        <f t="shared" si="6"/>
        <v>2543227617.4005585</v>
      </c>
      <c r="AQ18" s="141"/>
      <c r="AR18" s="140">
        <f t="shared" si="7"/>
        <v>2500327617.4005585</v>
      </c>
      <c r="AS18" s="140">
        <f t="shared" si="7"/>
        <v>0</v>
      </c>
      <c r="AT18" s="140">
        <f t="shared" si="7"/>
        <v>0</v>
      </c>
      <c r="AU18" s="140">
        <f t="shared" si="7"/>
        <v>42900000</v>
      </c>
      <c r="AV18" s="200">
        <f t="shared" si="8"/>
        <v>0</v>
      </c>
      <c r="AY18" s="140">
        <f t="shared" si="9"/>
        <v>2500327617.4005585</v>
      </c>
      <c r="AZ18" s="140">
        <f t="shared" si="9"/>
        <v>42900000</v>
      </c>
      <c r="BA18" s="140">
        <f t="shared" si="9"/>
        <v>0</v>
      </c>
      <c r="BB18" s="200">
        <f>IF(SUM(AW18:BA18)-AP18=0,0,1)</f>
        <v>0</v>
      </c>
    </row>
    <row r="19" spans="1:54" s="6" customFormat="1">
      <c r="A19" s="111">
        <f t="shared" si="10"/>
        <v>2006</v>
      </c>
      <c r="B19" s="140">
        <f>'2.1 Qualcomm'!B16</f>
        <v>2467000000</v>
      </c>
      <c r="C19" s="140">
        <f>'2.2 Ericsson'!I11</f>
        <v>718213904.62119341</v>
      </c>
      <c r="D19" s="140"/>
      <c r="E19" s="140"/>
      <c r="F19" s="140">
        <f>'2.4 Interdigital'!E12</f>
        <v>473600000</v>
      </c>
      <c r="G19" s="140"/>
      <c r="H19"/>
      <c r="I19"/>
      <c r="J19" s="141"/>
      <c r="K19" s="229"/>
      <c r="L19" s="140"/>
      <c r="M19" s="140"/>
      <c r="N19" s="141"/>
      <c r="O19" s="141"/>
      <c r="P19" s="140">
        <f>'3.9 Parkervision'!B14</f>
        <v>0</v>
      </c>
      <c r="Q19" s="141"/>
      <c r="R19" s="140"/>
      <c r="S19"/>
      <c r="T19" s="331"/>
      <c r="U19" s="262"/>
      <c r="V19" s="141"/>
      <c r="W19" s="262"/>
      <c r="X19"/>
      <c r="Y19" s="116"/>
      <c r="Z19" s="229"/>
      <c r="AA19"/>
      <c r="AB19"/>
      <c r="AC19"/>
      <c r="AD19"/>
      <c r="AE19"/>
      <c r="AF19" s="262"/>
      <c r="AG19" s="262"/>
      <c r="AH19" s="262"/>
      <c r="AI19"/>
      <c r="AJ19"/>
      <c r="AK19"/>
      <c r="AL19"/>
      <c r="AM19" s="140">
        <f t="shared" si="11"/>
        <v>42900000</v>
      </c>
      <c r="AN19"/>
      <c r="AO19" s="141"/>
      <c r="AP19" s="151">
        <f t="shared" si="6"/>
        <v>3701713904.6211934</v>
      </c>
      <c r="AQ19" s="141"/>
      <c r="AR19" s="140">
        <f t="shared" si="7"/>
        <v>3658813904.6211934</v>
      </c>
      <c r="AS19" s="140">
        <f t="shared" si="7"/>
        <v>0</v>
      </c>
      <c r="AT19" s="140">
        <f t="shared" si="7"/>
        <v>0</v>
      </c>
      <c r="AU19" s="140">
        <f t="shared" si="7"/>
        <v>42900000</v>
      </c>
      <c r="AV19" s="200">
        <f t="shared" si="8"/>
        <v>0</v>
      </c>
      <c r="AY19" s="140">
        <f t="shared" si="9"/>
        <v>3658813904.6211934</v>
      </c>
      <c r="AZ19" s="140">
        <f t="shared" si="9"/>
        <v>42900000</v>
      </c>
      <c r="BA19" s="140">
        <f t="shared" si="9"/>
        <v>0</v>
      </c>
      <c r="BB19" s="200">
        <f>IF(SUM(AW19:BA19)-AP19=0,0,1)</f>
        <v>0</v>
      </c>
    </row>
    <row r="20" spans="1:54" s="6" customFormat="1">
      <c r="A20" s="111">
        <f t="shared" si="10"/>
        <v>2007</v>
      </c>
      <c r="B20" s="140">
        <f>'2.1 Qualcomm'!B17</f>
        <v>2772000000</v>
      </c>
      <c r="C20" s="140">
        <f>'2.2 Ericsson'!I12</f>
        <v>1022876011.4231318</v>
      </c>
      <c r="D20"/>
      <c r="E20"/>
      <c r="F20" s="140">
        <f>'2.4 Interdigital'!E13</f>
        <v>230800000</v>
      </c>
      <c r="G20"/>
      <c r="H20"/>
      <c r="I20"/>
      <c r="J20" s="141"/>
      <c r="K20" s="229">
        <f>'3.4 Broadcom'!D81*1000000</f>
        <v>37083000</v>
      </c>
      <c r="L20" s="228">
        <f>'3.5 Xperi'!F40</f>
        <v>48049491.803278692</v>
      </c>
      <c r="M20" s="140">
        <f>'3.6 Rambus'!F108</f>
        <v>50919000</v>
      </c>
      <c r="N20" s="141">
        <f>'3.7 Acacia Technologies'!D32</f>
        <v>52597000</v>
      </c>
      <c r="O20" s="141">
        <f>'3.8 Quarterhill'!B29</f>
        <v>102855000</v>
      </c>
      <c r="P20" s="140">
        <f>'3.9 Parkervision'!B15</f>
        <v>0</v>
      </c>
      <c r="Q20"/>
      <c r="R20" s="140">
        <f>'3.11 VirnetX'!B21</f>
        <v>75000</v>
      </c>
      <c r="S20"/>
      <c r="T20" s="141">
        <f>'3.13 IBM'!E20*1000000</f>
        <v>126500000</v>
      </c>
      <c r="U20" s="262"/>
      <c r="V20" s="141">
        <f>'3.15 Technicolor'!E30*1000000</f>
        <v>0</v>
      </c>
      <c r="W20" s="262"/>
      <c r="X20" s="229">
        <f>'4.1 Via Licensing AAC'!B$98*1000000</f>
        <v>118614000.00000001</v>
      </c>
      <c r="Y20" s="116"/>
      <c r="Z20" s="229">
        <f>'4.3 MPEGLA MPEG4'!B$129*1000000</f>
        <v>53464499.999999993</v>
      </c>
      <c r="AA20" s="229">
        <f>'4.4 MPEGLA AVC H.264'!B$117*1000000</f>
        <v>29334999.999999996</v>
      </c>
      <c r="AB20"/>
      <c r="AC20"/>
      <c r="AD20"/>
      <c r="AE20"/>
      <c r="AF20" s="262"/>
      <c r="AG20" s="262"/>
      <c r="AH20" s="262"/>
      <c r="AI20"/>
      <c r="AJ20"/>
      <c r="AK20"/>
      <c r="AL20"/>
      <c r="AM20" s="140">
        <f t="shared" si="11"/>
        <v>42900000</v>
      </c>
      <c r="AN20"/>
      <c r="AO20" s="141">
        <f>'5.7 Conversant IP'!E33*1000000</f>
        <v>16830000</v>
      </c>
      <c r="AP20" s="151">
        <f t="shared" si="6"/>
        <v>4704898003.2264109</v>
      </c>
      <c r="AQ20" s="141"/>
      <c r="AR20" s="140">
        <f t="shared" si="7"/>
        <v>4025751011.4231319</v>
      </c>
      <c r="AS20" s="140">
        <f t="shared" si="7"/>
        <v>201413500</v>
      </c>
      <c r="AT20" s="140">
        <f t="shared" si="7"/>
        <v>380920491.80327868</v>
      </c>
      <c r="AU20" s="140">
        <f t="shared" si="7"/>
        <v>96813000</v>
      </c>
      <c r="AV20" s="200">
        <f t="shared" si="8"/>
        <v>0</v>
      </c>
      <c r="AY20" s="140">
        <f t="shared" si="9"/>
        <v>4443754503.2264109</v>
      </c>
      <c r="AZ20" s="140">
        <f t="shared" si="9"/>
        <v>59730000</v>
      </c>
      <c r="BA20" s="140">
        <f t="shared" si="9"/>
        <v>201413500</v>
      </c>
      <c r="BB20" s="200">
        <f>IF(SUM(AW20:BA20)-AP20=0,0,1)</f>
        <v>0</v>
      </c>
    </row>
    <row r="21" spans="1:54" s="6" customFormat="1">
      <c r="A21" s="111">
        <f t="shared" si="10"/>
        <v>2008</v>
      </c>
      <c r="B21" s="140">
        <f>'2.1 Qualcomm'!B18</f>
        <v>3622000000</v>
      </c>
      <c r="C21" s="140">
        <f>'2.2 Ericsson'!I13</f>
        <v>1370890039.7446706</v>
      </c>
      <c r="D21"/>
      <c r="E21"/>
      <c r="F21" s="140">
        <f>'2.4 Interdigital'!E14</f>
        <v>216500000</v>
      </c>
      <c r="G21"/>
      <c r="H21"/>
      <c r="I21"/>
      <c r="J21"/>
      <c r="K21" s="229">
        <f>'3.4 Broadcom'!D82*1000000</f>
        <v>174000000</v>
      </c>
      <c r="L21" s="228">
        <f>'3.5 Xperi'!F41</f>
        <v>62624708.196721315</v>
      </c>
      <c r="M21" s="140">
        <f>'3.6 Rambus'!F109</f>
        <v>41877000</v>
      </c>
      <c r="N21" s="141">
        <f>'3.7 Acacia Technologies'!D33</f>
        <v>48227000</v>
      </c>
      <c r="O21" s="141">
        <f>'3.8 Quarterhill'!B28</f>
        <v>98311000</v>
      </c>
      <c r="P21" s="140">
        <f>'3.9 Parkervision'!B16</f>
        <v>0</v>
      </c>
      <c r="Q21"/>
      <c r="R21" s="140">
        <f>'3.11 VirnetX'!B22</f>
        <v>134000</v>
      </c>
      <c r="S21"/>
      <c r="T21" s="141">
        <f>'3.13 IBM'!E21*1000000</f>
        <v>163000000</v>
      </c>
      <c r="U21" s="262"/>
      <c r="V21" s="141">
        <f>'3.15 Technicolor'!E31*1000000</f>
        <v>0</v>
      </c>
      <c r="W21" s="262"/>
      <c r="X21" s="229">
        <f>'4.1 Via Licensing AAC'!C$98*1000000</f>
        <v>61020499.999999985</v>
      </c>
      <c r="Y21" s="116"/>
      <c r="Z21" s="229">
        <f>'4.3 MPEGLA MPEG4'!C$129*1000000</f>
        <v>52062499.999999985</v>
      </c>
      <c r="AA21" s="229">
        <f>'4.4 MPEGLA AVC H.264'!C$117*1000000</f>
        <v>30502499.999999993</v>
      </c>
      <c r="AB21"/>
      <c r="AC21"/>
      <c r="AD21"/>
      <c r="AE21"/>
      <c r="AF21" s="262"/>
      <c r="AG21" s="262"/>
      <c r="AH21" s="262"/>
      <c r="AI21"/>
      <c r="AJ21"/>
      <c r="AK21"/>
      <c r="AL21"/>
      <c r="AM21" s="140">
        <f t="shared" si="11"/>
        <v>42900000</v>
      </c>
      <c r="AN21"/>
      <c r="AO21" s="141">
        <f>'5.7 Conversant IP'!E34*1000000</f>
        <v>18710974.128000002</v>
      </c>
      <c r="AP21" s="151">
        <f t="shared" si="6"/>
        <v>6002760222.0693922</v>
      </c>
      <c r="AQ21" s="141"/>
      <c r="AR21" s="140">
        <f t="shared" si="7"/>
        <v>5209524039.7446709</v>
      </c>
      <c r="AS21" s="140">
        <f t="shared" si="7"/>
        <v>143585499.99999997</v>
      </c>
      <c r="AT21" s="140">
        <f t="shared" si="7"/>
        <v>414039708.19672132</v>
      </c>
      <c r="AU21" s="140">
        <f t="shared" si="7"/>
        <v>235610974.12799999</v>
      </c>
      <c r="AV21" s="200">
        <f t="shared" si="8"/>
        <v>0</v>
      </c>
      <c r="AY21" s="140">
        <f t="shared" si="9"/>
        <v>5797563747.9413919</v>
      </c>
      <c r="AZ21" s="140">
        <f t="shared" si="9"/>
        <v>61610974.128000006</v>
      </c>
      <c r="BA21" s="140">
        <f t="shared" si="9"/>
        <v>143585499.99999997</v>
      </c>
      <c r="BB21" s="200">
        <f>IF(SUM(AW21:BA21)-AP21=0,0,1)</f>
        <v>0</v>
      </c>
    </row>
    <row r="22" spans="1:54" s="12" customFormat="1">
      <c r="A22" s="165">
        <f t="shared" si="10"/>
        <v>2009</v>
      </c>
      <c r="B22" s="228">
        <f>'2.1 Qualcomm'!B19</f>
        <v>3605000000</v>
      </c>
      <c r="C22" s="228">
        <f>'2.2 Ericsson'!I14</f>
        <v>1070521198.4468465</v>
      </c>
      <c r="D22" s="228">
        <f>'2.3 Nokia'!D15</f>
        <v>697750000</v>
      </c>
      <c r="E22" s="228">
        <f>'2.3.1 Alcatel-Lucent (Nokia)'!D17</f>
        <v>255197132.61648744</v>
      </c>
      <c r="F22" s="228">
        <f>'2.4 Interdigital'!E15</f>
        <v>287600000</v>
      </c>
      <c r="G22" s="140">
        <f>'2.5 Microsoft'!B12</f>
        <v>0</v>
      </c>
      <c r="H22" s="116"/>
      <c r="I22" s="229">
        <v>0</v>
      </c>
      <c r="J22" s="229"/>
      <c r="K22" s="229">
        <f>'3.4 Broadcom'!D83*1000000</f>
        <v>219000000</v>
      </c>
      <c r="L22" s="228">
        <f>'3.5 Xperi'!F42</f>
        <v>80460409.836065575</v>
      </c>
      <c r="M22" s="228">
        <f>'3.6 Rambus'!F110</f>
        <v>35640000</v>
      </c>
      <c r="N22" s="229">
        <f>'3.7 Acacia Technologies'!D34</f>
        <v>67340000</v>
      </c>
      <c r="O22" s="229">
        <f>'3.8 Quarterhill'!B27</f>
        <v>88209000</v>
      </c>
      <c r="P22" s="228">
        <f>'3.9 Parkervision'!B17</f>
        <v>0</v>
      </c>
      <c r="Q22" s="229"/>
      <c r="R22" s="228">
        <f>'3.11 VirnetX'!B23</f>
        <v>26000</v>
      </c>
      <c r="S22" s="116"/>
      <c r="T22" s="141">
        <f>'3.13 IBM'!E22*1000000</f>
        <v>149500000</v>
      </c>
      <c r="U22" s="116"/>
      <c r="V22" s="141">
        <f>'3.15 Technicolor'!E32*1000000</f>
        <v>0</v>
      </c>
      <c r="W22" s="116"/>
      <c r="X22" s="229">
        <f>'4.1 Via Licensing AAC'!D$98*1000000</f>
        <v>111041800.00000001</v>
      </c>
      <c r="Y22" s="229"/>
      <c r="Z22" s="229">
        <f>'4.3 MPEGLA MPEG4'!D$129*1000000</f>
        <v>51845000.000000007</v>
      </c>
      <c r="AA22" s="229">
        <f>'4.4 MPEGLA AVC H.264'!D$117*1000000</f>
        <v>33279100</v>
      </c>
      <c r="AB22" s="229"/>
      <c r="AC22" s="116"/>
      <c r="AD22" s="116"/>
      <c r="AE22" s="229"/>
      <c r="AF22" s="116"/>
      <c r="AG22" s="116"/>
      <c r="AH22" s="116"/>
      <c r="AI22" s="116"/>
      <c r="AJ22" s="116"/>
      <c r="AK22" s="116"/>
      <c r="AL22" s="116"/>
      <c r="AM22" s="228">
        <f t="shared" si="11"/>
        <v>42900000</v>
      </c>
      <c r="AN22" s="116"/>
      <c r="AO22" s="141">
        <f>'5.7 Conversant IP'!E35*1000000</f>
        <v>23466721.046999998</v>
      </c>
      <c r="AP22" s="151">
        <f t="shared" si="6"/>
        <v>6818776361.9463987</v>
      </c>
      <c r="AQ22" s="141"/>
      <c r="AR22" s="140">
        <f t="shared" si="7"/>
        <v>5916094331.0633335</v>
      </c>
      <c r="AS22" s="140">
        <f t="shared" si="7"/>
        <v>196165900.00000003</v>
      </c>
      <c r="AT22" s="140">
        <f t="shared" si="7"/>
        <v>421149409.83606559</v>
      </c>
      <c r="AU22" s="140">
        <f t="shared" si="7"/>
        <v>285366721.04699999</v>
      </c>
      <c r="AV22" s="200">
        <f t="shared" si="8"/>
        <v>0</v>
      </c>
      <c r="AY22" s="140">
        <f t="shared" si="9"/>
        <v>6556243740.8993988</v>
      </c>
      <c r="AZ22" s="140">
        <f t="shared" si="9"/>
        <v>66366721.046999998</v>
      </c>
      <c r="BA22" s="140">
        <f t="shared" si="9"/>
        <v>196165900.00000003</v>
      </c>
      <c r="BB22" s="200">
        <f>IF(SUM(AW22:BA22)-AP22=0,0,1)</f>
        <v>0</v>
      </c>
    </row>
    <row r="23" spans="1:54" s="6" customFormat="1">
      <c r="A23" s="111">
        <f t="shared" si="10"/>
        <v>2010</v>
      </c>
      <c r="B23" s="140">
        <f>'2.1 Qualcomm'!B20</f>
        <v>3659000000</v>
      </c>
      <c r="C23" s="140">
        <f>'2.2 Ericsson'!I15</f>
        <v>1164483816.6770985</v>
      </c>
      <c r="D23" s="140">
        <f>'2.3 Nokia'!D16</f>
        <v>753312000.00000012</v>
      </c>
      <c r="E23" s="140">
        <f>'2.3.1 Alcatel-Lucent (Nokia)'!D18</f>
        <v>182265805.19269916</v>
      </c>
      <c r="F23" s="140">
        <f>'2.4 Interdigital'!E16</f>
        <v>370231000</v>
      </c>
      <c r="G23" s="140">
        <f>'2.5 Microsoft'!B13</f>
        <v>0</v>
      </c>
      <c r="H23"/>
      <c r="I23" s="141">
        <v>0</v>
      </c>
      <c r="J23" s="141"/>
      <c r="K23" s="229">
        <f>'3.4 Broadcom'!D84*1000000</f>
        <v>228353000</v>
      </c>
      <c r="L23" s="228">
        <f>'3.5 Xperi'!F43</f>
        <v>78776163.934426233</v>
      </c>
      <c r="M23" s="140">
        <f>'3.6 Rambus'!F111</f>
        <v>105651150</v>
      </c>
      <c r="N23" s="141">
        <f>'3.7 Acacia Technologies'!D35</f>
        <v>131829000</v>
      </c>
      <c r="O23" s="141">
        <f>'3.8 Quarterhill'!B26</f>
        <v>87960000</v>
      </c>
      <c r="P23" s="140">
        <f>'3.9 Parkervision'!B18</f>
        <v>0</v>
      </c>
      <c r="Q23" s="229"/>
      <c r="R23" s="140">
        <f>'3.11 VirnetX'!B24</f>
        <v>68000</v>
      </c>
      <c r="S23"/>
      <c r="T23" s="141">
        <f>'3.13 IBM'!E23*1000000</f>
        <v>128750000</v>
      </c>
      <c r="U23" s="262"/>
      <c r="V23" s="141">
        <f>'3.15 Technicolor'!E33*1000000</f>
        <v>0</v>
      </c>
      <c r="W23" s="262"/>
      <c r="X23" s="229">
        <f>'4.1 Via Licensing AAC'!E$98*1000000</f>
        <v>118319090.90000002</v>
      </c>
      <c r="Y23" s="229"/>
      <c r="Z23" s="229">
        <f>'4.3 MPEGLA MPEG4'!E$129*1000000</f>
        <v>67033727.25000003</v>
      </c>
      <c r="AA23" s="229">
        <f>'4.4 MPEGLA AVC H.264'!E$117*1000000</f>
        <v>40600690.900000013</v>
      </c>
      <c r="AB23" s="141"/>
      <c r="AC23"/>
      <c r="AD23"/>
      <c r="AE23" s="141"/>
      <c r="AF23" s="262"/>
      <c r="AG23" s="262"/>
      <c r="AH23" s="262"/>
      <c r="AI23"/>
      <c r="AJ23"/>
      <c r="AK23"/>
      <c r="AL23"/>
      <c r="AM23" s="140">
        <f>0.33*700000000</f>
        <v>231000000</v>
      </c>
      <c r="AN23"/>
      <c r="AO23" s="141">
        <f>'5.7 Conversant IP'!E36*1000000</f>
        <v>24179395.778999995</v>
      </c>
      <c r="AP23" s="151">
        <f t="shared" si="6"/>
        <v>7371812840.6332235</v>
      </c>
      <c r="AQ23" s="141"/>
      <c r="AR23" s="140">
        <f t="shared" si="7"/>
        <v>6129360621.8697977</v>
      </c>
      <c r="AS23" s="140">
        <f t="shared" si="7"/>
        <v>225953509.05000004</v>
      </c>
      <c r="AT23" s="140">
        <f t="shared" si="7"/>
        <v>532966313.93442625</v>
      </c>
      <c r="AU23" s="140">
        <f t="shared" si="7"/>
        <v>483532395.77899998</v>
      </c>
      <c r="AV23" s="200">
        <f t="shared" si="8"/>
        <v>1</v>
      </c>
      <c r="AY23" s="140">
        <f t="shared" si="9"/>
        <v>6890679935.804224</v>
      </c>
      <c r="AZ23" s="140">
        <f t="shared" si="9"/>
        <v>255179395.77899998</v>
      </c>
      <c r="BA23" s="140">
        <f t="shared" si="9"/>
        <v>225953509.05000004</v>
      </c>
      <c r="BB23" s="200">
        <f>IF(SUM(AW23:BA23)-AP23=0,0,1)</f>
        <v>1</v>
      </c>
    </row>
    <row r="24" spans="1:54" s="6" customFormat="1">
      <c r="A24" s="111">
        <f t="shared" si="10"/>
        <v>2011</v>
      </c>
      <c r="B24" s="140">
        <f>'2.1 Qualcomm'!B21</f>
        <v>5422000000</v>
      </c>
      <c r="C24" s="140">
        <f>'2.2 Ericsson'!I16</f>
        <v>1758484042.1393335</v>
      </c>
      <c r="D24" s="140">
        <f>'2.3 Nokia'!D17</f>
        <v>1323445000</v>
      </c>
      <c r="E24" s="140">
        <f>'2.3.1 Alcatel-Lucent (Nokia)'!D19</f>
        <v>176242509.69333804</v>
      </c>
      <c r="F24" s="140">
        <f>'2.4 Interdigital'!E17</f>
        <v>295372000</v>
      </c>
      <c r="G24" s="140">
        <f>'2.5 Microsoft'!B14</f>
        <v>225500000</v>
      </c>
      <c r="H24"/>
      <c r="I24" s="141">
        <v>0</v>
      </c>
      <c r="J24" s="141"/>
      <c r="K24" s="229">
        <f>'3.4 Broadcom'!D85*1000000</f>
        <v>229000000</v>
      </c>
      <c r="L24" s="228">
        <f>'3.5 Xperi'!F44</f>
        <v>63673744.262295082</v>
      </c>
      <c r="M24" s="140">
        <f>'3.6 Rambus'!F112</f>
        <v>98956598.400000006</v>
      </c>
      <c r="N24" s="141">
        <f>'3.7 Acacia Technologies'!D36</f>
        <v>176107000</v>
      </c>
      <c r="O24" s="141">
        <f>'3.8 Quarterhill'!B25</f>
        <v>104813000</v>
      </c>
      <c r="P24" s="140">
        <f>'3.9 Parkervision'!B19</f>
        <v>0</v>
      </c>
      <c r="Q24" s="229">
        <f>'3.10 Unwired Planet'!B14</f>
        <v>4019000</v>
      </c>
      <c r="R24" s="140">
        <f>'3.11 VirnetX'!B25</f>
        <v>20000</v>
      </c>
      <c r="S24"/>
      <c r="T24" s="141">
        <f>'3.13 IBM'!E24*1000000</f>
        <v>130000000</v>
      </c>
      <c r="U24" s="262"/>
      <c r="V24" s="141">
        <f>'3.15 Technicolor'!E34*1000000</f>
        <v>3277892.1600000006</v>
      </c>
      <c r="W24" s="262"/>
      <c r="X24" s="229">
        <f>'4.1 Via Licensing AAC'!F$98*1000000</f>
        <v>158929382.72600943</v>
      </c>
      <c r="Y24" s="229"/>
      <c r="Z24" s="229">
        <f>'4.3 MPEGLA MPEG4'!F$129*1000000</f>
        <v>81639347.565023631</v>
      </c>
      <c r="AA24" s="229">
        <f>'4.4 MPEGLA AVC H.264'!F$117*1000000</f>
        <v>52199939.026009448</v>
      </c>
      <c r="AB24" s="141"/>
      <c r="AC24"/>
      <c r="AD24"/>
      <c r="AE24" s="141"/>
      <c r="AF24" s="262"/>
      <c r="AG24" s="262"/>
      <c r="AH24" s="262"/>
      <c r="AI24"/>
      <c r="AJ24"/>
      <c r="AK24"/>
      <c r="AL24"/>
      <c r="AM24" s="228">
        <f>285000000*1/3</f>
        <v>95000000</v>
      </c>
      <c r="AN24"/>
      <c r="AO24" s="141">
        <f>'5.7 Conversant IP'!E37*1000000</f>
        <v>26085479.541000001</v>
      </c>
      <c r="AP24" s="151">
        <f t="shared" si="6"/>
        <v>10424764935.513008</v>
      </c>
      <c r="AQ24" s="141"/>
      <c r="AR24" s="140">
        <f t="shared" si="7"/>
        <v>8979582551.8326721</v>
      </c>
      <c r="AS24" s="140">
        <f t="shared" si="7"/>
        <v>518268669.31704247</v>
      </c>
      <c r="AT24" s="140">
        <f t="shared" si="7"/>
        <v>576828234.82229507</v>
      </c>
      <c r="AU24" s="140">
        <f t="shared" si="7"/>
        <v>350085479.54100001</v>
      </c>
      <c r="AV24" s="200">
        <f t="shared" si="8"/>
        <v>1</v>
      </c>
      <c r="AY24" s="140">
        <f t="shared" si="9"/>
        <v>10010910786.654966</v>
      </c>
      <c r="AZ24" s="140">
        <f t="shared" si="9"/>
        <v>121085479.54100001</v>
      </c>
      <c r="BA24" s="140">
        <f t="shared" si="9"/>
        <v>292768669.31704253</v>
      </c>
      <c r="BB24" s="200">
        <f>IF(SUM(AW24:BA24)-AP24=0,0,1)</f>
        <v>1</v>
      </c>
    </row>
    <row r="25" spans="1:54" s="6" customFormat="1">
      <c r="A25" s="111">
        <f t="shared" si="10"/>
        <v>2012</v>
      </c>
      <c r="B25" s="140">
        <f>'2.1 Qualcomm'!B22</f>
        <v>6327000000</v>
      </c>
      <c r="C25" s="140">
        <f>'2.2 Ericsson'!I17</f>
        <v>1792574062.7834699</v>
      </c>
      <c r="D25" s="140">
        <f>'2.3 Nokia'!D18</f>
        <v>686670600</v>
      </c>
      <c r="E25" s="140">
        <f>'2.3.1 Alcatel-Lucent (Nokia)'!D20</f>
        <v>147668031.71698368</v>
      </c>
      <c r="F25" s="140">
        <f>'2.4 Interdigital'!E18</f>
        <v>660547000</v>
      </c>
      <c r="G25" s="140">
        <f>'2.5 Microsoft'!B15</f>
        <v>512500000</v>
      </c>
      <c r="H25"/>
      <c r="I25" s="141">
        <v>0</v>
      </c>
      <c r="J25" s="141">
        <f>'3.3 ATT MPEG4'!G59</f>
        <v>17250000</v>
      </c>
      <c r="K25" s="229">
        <f>'3.4 Broadcom'!D86*1000000</f>
        <v>244000000</v>
      </c>
      <c r="L25" s="228">
        <f>'3.5 Xperi'!F45</f>
        <v>57531691.803278692</v>
      </c>
      <c r="M25" s="140">
        <f>'3.6 Rambus'!F113</f>
        <v>76473238.612499982</v>
      </c>
      <c r="N25" s="141">
        <f>'3.7 Acacia Technologies'!D37</f>
        <v>209527000</v>
      </c>
      <c r="O25" s="141">
        <f>'3.8 Quarterhill'!B24</f>
        <v>45557000</v>
      </c>
      <c r="P25" s="140">
        <f>'3.9 Parkervision'!B20</f>
        <v>0</v>
      </c>
      <c r="Q25" s="229">
        <f>'3.10 Unwired Planet'!B15</f>
        <v>15050000</v>
      </c>
      <c r="R25" s="140">
        <f>'3.11 VirnetX'!B26</f>
        <v>412000</v>
      </c>
      <c r="S25"/>
      <c r="T25" s="141">
        <f>'3.13 IBM'!E25*1000000</f>
        <v>143750000</v>
      </c>
      <c r="U25" s="262"/>
      <c r="V25" s="141">
        <f>'3.15 Technicolor'!E35*1000000</f>
        <v>20041122</v>
      </c>
      <c r="W25" s="262"/>
      <c r="X25" s="229">
        <f>'4.1 Via Licensing AAC'!G$98*1000000</f>
        <v>174349954.30418357</v>
      </c>
      <c r="Y25" s="229"/>
      <c r="Z25" s="229">
        <f>'4.3 MPEGLA MPEG4'!G$129*1000000</f>
        <v>91422931.997958884</v>
      </c>
      <c r="AA25" s="229">
        <f>'4.4 MPEGLA AVC H.264'!G$117*1000000</f>
        <v>54976364.999183558</v>
      </c>
      <c r="AB25" s="141"/>
      <c r="AC25"/>
      <c r="AD25"/>
      <c r="AE25" s="141"/>
      <c r="AF25" s="262"/>
      <c r="AG25" s="262"/>
      <c r="AH25" s="262"/>
      <c r="AI25"/>
      <c r="AJ25"/>
      <c r="AK25"/>
      <c r="AL25"/>
      <c r="AM25" s="228">
        <f>285000000*1/3</f>
        <v>95000000</v>
      </c>
      <c r="AN25"/>
      <c r="AO25" s="141">
        <f>'5.7 Conversant IP'!E38*1000000</f>
        <v>26366920.899000004</v>
      </c>
      <c r="AP25" s="151">
        <f t="shared" si="6"/>
        <v>11398667919.116558</v>
      </c>
      <c r="AQ25" s="141"/>
      <c r="AR25" s="140">
        <f t="shared" si="7"/>
        <v>9629921694.5004539</v>
      </c>
      <c r="AS25" s="140">
        <f t="shared" si="7"/>
        <v>833249251.30132604</v>
      </c>
      <c r="AT25" s="140">
        <f t="shared" si="7"/>
        <v>570130052.41577864</v>
      </c>
      <c r="AU25" s="140">
        <f t="shared" si="7"/>
        <v>365366920.89899999</v>
      </c>
      <c r="AV25" s="200">
        <f t="shared" si="8"/>
        <v>1</v>
      </c>
      <c r="AY25" s="140">
        <f t="shared" si="9"/>
        <v>10956551746.916231</v>
      </c>
      <c r="AZ25" s="140">
        <f t="shared" si="9"/>
        <v>121366920.899</v>
      </c>
      <c r="BA25" s="140">
        <f t="shared" si="9"/>
        <v>320749251.30132598</v>
      </c>
      <c r="BB25" s="200">
        <f>IF(SUM(AW25:BA25)-AP25=0,0,1)</f>
        <v>0</v>
      </c>
    </row>
    <row r="26" spans="1:54" s="12" customFormat="1">
      <c r="A26" s="165">
        <f t="shared" si="10"/>
        <v>2013</v>
      </c>
      <c r="B26" s="228">
        <f>'2.1 Qualcomm'!B23</f>
        <v>7554000000</v>
      </c>
      <c r="C26" s="228">
        <f>'2.2 Ericsson'!I18</f>
        <v>1619597249.5088408</v>
      </c>
      <c r="D26" s="228">
        <f>'2.3 Nokia'!D19</f>
        <v>702564900</v>
      </c>
      <c r="E26" s="228">
        <f>'2.3.1 Alcatel-Lucent (Nokia)'!D21</f>
        <v>106076239.88659486</v>
      </c>
      <c r="F26" s="228">
        <f>'2.4 Interdigital'!E19</f>
        <v>264174000</v>
      </c>
      <c r="G26" s="228">
        <f>'2.5 Microsoft'!B16</f>
        <v>1712500000</v>
      </c>
      <c r="H26" s="116"/>
      <c r="I26" s="229">
        <v>0</v>
      </c>
      <c r="J26" s="229">
        <f>'3.3 ATT MPEG4'!G60</f>
        <v>17250000</v>
      </c>
      <c r="K26" s="229">
        <f>'3.4 Broadcom'!D87*1000000</f>
        <v>144000000</v>
      </c>
      <c r="L26" s="228">
        <f>'3.5 Xperi'!F46</f>
        <v>44745744.262295082</v>
      </c>
      <c r="M26" s="228">
        <f>'3.6 Rambus'!F114</f>
        <v>90090662.750028834</v>
      </c>
      <c r="N26" s="229">
        <f>'3.7 Acacia Technologies'!D38</f>
        <v>120656000</v>
      </c>
      <c r="O26" s="229">
        <f>'3.8 Quarterhill'!B23</f>
        <v>35425000</v>
      </c>
      <c r="P26" s="228">
        <f>'3.9 Parkervision'!B21</f>
        <v>0</v>
      </c>
      <c r="Q26" s="229">
        <f>'3.10 Unwired Planet'!B16</f>
        <v>121000</v>
      </c>
      <c r="R26" s="228">
        <f>'3.11 VirnetX'!B27</f>
        <v>2197000</v>
      </c>
      <c r="S26" s="229">
        <f>'3.12 Marathon Patent Group'!B46</f>
        <v>0</v>
      </c>
      <c r="T26" s="141">
        <f>'3.13 IBM'!E26*1000000</f>
        <v>125500000</v>
      </c>
      <c r="U26" s="141">
        <f>'3.14 Tivo'!E25*1000000</f>
        <v>0</v>
      </c>
      <c r="V26" s="141">
        <f>'3.15 Technicolor'!E36*1000000</f>
        <v>36522682.499999993</v>
      </c>
      <c r="W26" s="116"/>
      <c r="X26" s="229">
        <f>'4.1 Via Licensing AAC'!H$98*1000000</f>
        <v>165742170.67996165</v>
      </c>
      <c r="Y26" s="229"/>
      <c r="Z26" s="229">
        <f>'4.3 MPEGLA MPEG4'!H$129*1000000</f>
        <v>109245696.54990421</v>
      </c>
      <c r="AA26" s="229">
        <f>'4.4 MPEGLA AVC H.264'!H$117*1000000</f>
        <v>63206211.919961691</v>
      </c>
      <c r="AB26" s="229"/>
      <c r="AC26" s="116"/>
      <c r="AD26" s="116"/>
      <c r="AE26" s="229"/>
      <c r="AF26" s="116"/>
      <c r="AG26" s="116"/>
      <c r="AH26" s="116"/>
      <c r="AI26" s="116"/>
      <c r="AJ26" s="116"/>
      <c r="AK26" s="116"/>
      <c r="AL26" s="116"/>
      <c r="AM26" s="228">
        <f>285000000*1/3</f>
        <v>95000000</v>
      </c>
      <c r="AN26" s="228">
        <f t="shared" ref="AN26:AN27" si="12">F26</f>
        <v>264174000</v>
      </c>
      <c r="AO26" s="141">
        <f>'5.7 Conversant IP'!E39*1000000</f>
        <v>27160224.828000002</v>
      </c>
      <c r="AP26" s="151">
        <f t="shared" si="6"/>
        <v>13299948782.885586</v>
      </c>
      <c r="AQ26" s="141"/>
      <c r="AR26" s="140">
        <f t="shared" si="7"/>
        <v>10248730389.395435</v>
      </c>
      <c r="AS26" s="140">
        <f t="shared" si="7"/>
        <v>2050694079.1498275</v>
      </c>
      <c r="AT26" s="140">
        <f t="shared" si="7"/>
        <v>734364089.51232386</v>
      </c>
      <c r="AU26" s="140">
        <f t="shared" si="7"/>
        <v>266160224.82800001</v>
      </c>
      <c r="AV26" s="200">
        <f t="shared" si="8"/>
        <v>0</v>
      </c>
      <c r="AY26" s="140">
        <f t="shared" si="9"/>
        <v>12575420478.907759</v>
      </c>
      <c r="AZ26" s="140">
        <f t="shared" si="9"/>
        <v>386334224.82800001</v>
      </c>
      <c r="BA26" s="140">
        <f t="shared" si="9"/>
        <v>338194079.14982754</v>
      </c>
      <c r="BB26" s="200">
        <f>IF(SUM(AW26:BA26)-AP26=0,0,1)</f>
        <v>0</v>
      </c>
    </row>
    <row r="27" spans="1:54" s="6" customFormat="1">
      <c r="A27" s="111">
        <f t="shared" si="10"/>
        <v>2014</v>
      </c>
      <c r="B27" s="140">
        <f>'2.1 Qualcomm'!B24</f>
        <v>7569000000</v>
      </c>
      <c r="C27" s="140">
        <f>'2.2 Ericsson'!I19</f>
        <v>1432637022.9117911</v>
      </c>
      <c r="D27" s="140">
        <f>'2.3 Nokia'!D20</f>
        <v>834872000</v>
      </c>
      <c r="E27" s="140">
        <f>'2.3.1 Alcatel-Lucent (Nokia)'!D22</f>
        <v>66606276.975542173</v>
      </c>
      <c r="F27" s="140">
        <f>'2.4 Interdigital'!E20</f>
        <v>405388000</v>
      </c>
      <c r="G27" s="140">
        <f>'2.5 Microsoft'!B17</f>
        <v>2534500000</v>
      </c>
      <c r="H27"/>
      <c r="I27" s="141">
        <v>0</v>
      </c>
      <c r="J27" s="141">
        <f>'3.3 ATT MPEG4'!G61</f>
        <v>17250000</v>
      </c>
      <c r="K27" s="229">
        <f>'3.4 Broadcom'!D88*1000000</f>
        <v>137000000</v>
      </c>
      <c r="L27" s="228">
        <f>'3.5 Xperi'!F47</f>
        <v>76090083.582089558</v>
      </c>
      <c r="M27" s="140">
        <f>'3.6 Rambus'!F115</f>
        <v>78610834.755439058</v>
      </c>
      <c r="N27" s="141">
        <f>'3.7 Acacia Technologies'!D39</f>
        <v>130876000</v>
      </c>
      <c r="O27" s="141">
        <f>'3.8 Quarterhill'!B22</f>
        <v>26564000</v>
      </c>
      <c r="P27" s="140">
        <f>'3.9 Parkervision'!B22</f>
        <v>0</v>
      </c>
      <c r="Q27" s="229">
        <f>'3.10 Unwired Planet'!B17</f>
        <v>36396000</v>
      </c>
      <c r="R27" s="140">
        <f>'3.11 VirnetX'!B28</f>
        <v>1249000</v>
      </c>
      <c r="S27" s="141">
        <f>'3.12 Marathon Patent Group'!B47</f>
        <v>0</v>
      </c>
      <c r="T27" s="141">
        <f>'3.13 IBM'!E27*1000000</f>
        <v>103000000</v>
      </c>
      <c r="U27" s="141">
        <f>'3.14 Tivo'!E26*1000000</f>
        <v>843590</v>
      </c>
      <c r="V27" s="141">
        <f>'3.15 Technicolor'!E37*1000000</f>
        <v>55389746.999999993</v>
      </c>
      <c r="W27" s="141">
        <f>'3.16 Blackberry'!E27*1000000</f>
        <v>0</v>
      </c>
      <c r="X27" s="229">
        <f>'4.1 Via Licensing AAC'!I$98*1000000</f>
        <v>144556179.65390071</v>
      </c>
      <c r="Y27" s="229"/>
      <c r="Z27" s="229">
        <f>'4.3 MPEGLA MPEG4'!I$129*1000000</f>
        <v>105944998.50975166</v>
      </c>
      <c r="AA27" s="229">
        <f>'4.4 MPEGLA AVC H.264'!I$117*1000000</f>
        <v>64357999.403900661</v>
      </c>
      <c r="AB27" s="141"/>
      <c r="AC27"/>
      <c r="AD27"/>
      <c r="AE27" s="141"/>
      <c r="AF27" s="262"/>
      <c r="AG27" s="262"/>
      <c r="AH27" s="262"/>
      <c r="AI27"/>
      <c r="AJ27"/>
      <c r="AK27"/>
      <c r="AL27"/>
      <c r="AM27" s="228">
        <f>325000000*1/3</f>
        <v>108333333.33333333</v>
      </c>
      <c r="AN27" s="228">
        <f t="shared" si="12"/>
        <v>405388000</v>
      </c>
      <c r="AO27" s="141">
        <f>'5.7 Conversant IP'!E40*1000000</f>
        <v>29118317.349000007</v>
      </c>
      <c r="AP27" s="151">
        <f t="shared" si="6"/>
        <v>14363971383.474751</v>
      </c>
      <c r="AQ27" s="141"/>
      <c r="AR27" s="140">
        <f t="shared" si="7"/>
        <v>10346148299.887333</v>
      </c>
      <c r="AS27" s="140">
        <f t="shared" si="7"/>
        <v>2849359177.567553</v>
      </c>
      <c r="AT27" s="140">
        <f t="shared" si="7"/>
        <v>894012255.33752859</v>
      </c>
      <c r="AU27" s="140">
        <f t="shared" si="7"/>
        <v>274451650.68233335</v>
      </c>
      <c r="AV27" s="200">
        <f t="shared" si="8"/>
        <v>1</v>
      </c>
      <c r="AY27" s="140">
        <f t="shared" si="9"/>
        <v>13506272555.224863</v>
      </c>
      <c r="AZ27" s="140">
        <f t="shared" si="9"/>
        <v>542839650.68233335</v>
      </c>
      <c r="BA27" s="140">
        <f t="shared" si="9"/>
        <v>314859177.56755304</v>
      </c>
      <c r="BB27" s="200">
        <f>IF(SUM(AW27:BA27)-AP27=0,0,1)</f>
        <v>1</v>
      </c>
    </row>
    <row r="28" spans="1:54" s="6" customFormat="1">
      <c r="A28" s="111">
        <f t="shared" si="10"/>
        <v>2015</v>
      </c>
      <c r="B28" s="140">
        <f>'2.1 Qualcomm'!B25</f>
        <v>7947000000</v>
      </c>
      <c r="C28" s="140">
        <f>'2.2 Ericsson'!I20</f>
        <v>1700790378.4128635</v>
      </c>
      <c r="D28" s="140">
        <f>'2.3 Nokia'!D21</f>
        <v>1132986400</v>
      </c>
      <c r="E28" s="140">
        <f>'2.3.1 Alcatel-Lucent (Nokia)'!D23</f>
        <v>60807435.880730562</v>
      </c>
      <c r="F28" s="140">
        <f>'2.4 Interdigital'!E21</f>
        <v>432488000</v>
      </c>
      <c r="G28" s="140">
        <f>'2.5 Microsoft'!B18</f>
        <v>1134500000</v>
      </c>
      <c r="H28" s="147">
        <f>'3.1 Philips'!F18</f>
        <v>177633722.06658414</v>
      </c>
      <c r="I28" s="141">
        <v>0</v>
      </c>
      <c r="J28" s="141">
        <f>'3.3 ATT MPEG4'!G62</f>
        <v>17250000</v>
      </c>
      <c r="K28" s="229">
        <f>'3.4 Broadcom'!D89*1000000</f>
        <v>245000000</v>
      </c>
      <c r="L28" s="228">
        <f>'3.5 Xperi'!F48</f>
        <v>76338253.521126762</v>
      </c>
      <c r="M28" s="140">
        <f>'3.6 Rambus'!F116</f>
        <v>96027332.528920501</v>
      </c>
      <c r="N28" s="141">
        <f>'3.7 Acacia Technologies'!D40</f>
        <v>125037000</v>
      </c>
      <c r="O28" s="141">
        <f>'3.8 Quarterhill'!B21</f>
        <v>61270000</v>
      </c>
      <c r="P28" s="140">
        <f>'3.9 Parkervision'!B23</f>
        <v>0</v>
      </c>
      <c r="Q28" s="229">
        <f>'3.10 Unwired Planet'!B18</f>
        <v>4505000</v>
      </c>
      <c r="R28" s="140">
        <f>'3.11 VirnetX'!B29</f>
        <v>1555000</v>
      </c>
      <c r="S28" s="141">
        <f>'3.12 Marathon Patent Group'!B48</f>
        <v>0</v>
      </c>
      <c r="T28" s="141">
        <f>'3.13 IBM'!E28*1000000</f>
        <v>105000000</v>
      </c>
      <c r="U28" s="141">
        <f>'3.14 Tivo'!E27*1000000</f>
        <v>1340900</v>
      </c>
      <c r="V28" s="141">
        <f>'3.15 Technicolor'!E38*1000000</f>
        <v>88366502.000000015</v>
      </c>
      <c r="W28" s="141">
        <f>'3.16 Blackberry'!E28*1000000</f>
        <v>123000000</v>
      </c>
      <c r="X28" s="229">
        <f>'4.1 Via Licensing AAC'!J$98*1000000</f>
        <v>134778369.74602538</v>
      </c>
      <c r="Y28" s="229">
        <v>0</v>
      </c>
      <c r="Z28" s="229">
        <f>'4.3 MPEGLA MPEG4'!J$129*1000000</f>
        <v>110513510.89712691</v>
      </c>
      <c r="AA28" s="229">
        <f>'4.4 MPEGLA AVC H.264'!J$117*1000000</f>
        <v>66116526.058850765</v>
      </c>
      <c r="AB28" s="140">
        <v>0</v>
      </c>
      <c r="AC28" s="140">
        <v>0</v>
      </c>
      <c r="AD28" s="140">
        <f>'4.7 Via Licensing WCDMA'!P121</f>
        <v>86982900</v>
      </c>
      <c r="AF28" s="141">
        <v>0</v>
      </c>
      <c r="AG28" s="141">
        <v>0</v>
      </c>
      <c r="AH28" s="141">
        <v>0</v>
      </c>
      <c r="AK28" s="141">
        <v>2400000</v>
      </c>
      <c r="AM28" s="228">
        <f t="shared" ref="AM28:AM29" si="13">325000000*1/3</f>
        <v>108333333.33333333</v>
      </c>
      <c r="AN28" s="228">
        <f>F28</f>
        <v>432488000</v>
      </c>
      <c r="AO28" s="141">
        <f>'5.7 Conversant IP'!E41*1000000</f>
        <v>33727690.82100001</v>
      </c>
      <c r="AP28" s="151">
        <f t="shared" ref="AP28:AP29" si="14">SUM(B28:AO28)</f>
        <v>14506236255.266562</v>
      </c>
      <c r="AQ28" s="141"/>
      <c r="AR28" s="140">
        <f t="shared" si="7"/>
        <v>11280132214.293592</v>
      </c>
      <c r="AS28" s="140">
        <f t="shared" ref="AS28:AS29" si="15">SUMIF($B$10:$AO$10,AS$12,$B28:$AO28)</f>
        <v>1445908406.702003</v>
      </c>
      <c r="AT28" s="140">
        <f t="shared" si="7"/>
        <v>1303751710.1166315</v>
      </c>
      <c r="AU28" s="140">
        <f t="shared" si="7"/>
        <v>476443924.15433335</v>
      </c>
      <c r="AV28" s="200">
        <f t="shared" si="8"/>
        <v>0</v>
      </c>
      <c r="AW28" s="141"/>
      <c r="AX28" s="141"/>
      <c r="AY28" s="140">
        <f t="shared" ref="AY28:AY29" si="16">SUMIF($B$11:$AO$11,AY$12,$B28:$AO28)</f>
        <v>13530895924.410225</v>
      </c>
      <c r="AZ28" s="140">
        <f t="shared" ref="AZ28:BA29" si="17">SUMIF($B$11:$AO$11,AZ$12,$B28:$AO28)</f>
        <v>576949024.15433335</v>
      </c>
      <c r="BA28" s="140">
        <f t="shared" si="17"/>
        <v>398391306.70200306</v>
      </c>
      <c r="BB28" s="200">
        <f>IF(SUM(AW28:BA28)-AP28=0,0,1)</f>
        <v>0</v>
      </c>
    </row>
    <row r="29" spans="1:54" s="6" customFormat="1">
      <c r="A29" s="258">
        <v>2016</v>
      </c>
      <c r="B29" s="140">
        <f>'2.1 Qualcomm'!B26</f>
        <v>7664000000</v>
      </c>
      <c r="C29" s="228">
        <f>'2.2 Ericsson'!I21</f>
        <v>1164973999.232192</v>
      </c>
      <c r="D29" s="140">
        <f>'2.3 Nokia'!D22</f>
        <v>1161353700</v>
      </c>
      <c r="E29" s="140">
        <f>'2.3.1 Alcatel-Lucent (Nokia)'!D24</f>
        <v>0</v>
      </c>
      <c r="F29" s="140">
        <f>'2.4 Interdigital'!E22</f>
        <v>655360000</v>
      </c>
      <c r="G29" s="228">
        <f>'2.5 Microsoft'!B19</f>
        <v>828185000</v>
      </c>
      <c r="H29" s="337">
        <f>'3.1 Philips'!F19</f>
        <v>177633722.06658414</v>
      </c>
      <c r="I29" s="141">
        <f>'3.2 ATT 802.11'!A51</f>
        <v>12800000</v>
      </c>
      <c r="J29" s="141">
        <f>'3.3 ATT MPEG4'!G63</f>
        <v>23000000</v>
      </c>
      <c r="K29" s="229">
        <f>'3.4 Broadcom'!D90*1000000</f>
        <v>382000000</v>
      </c>
      <c r="L29" s="228">
        <f>'3.5 Xperi'!F49</f>
        <v>72093270.390280634</v>
      </c>
      <c r="M29" s="228">
        <f>'3.6 Rambus'!F117</f>
        <v>113073639.38176182</v>
      </c>
      <c r="N29" s="141">
        <f>'3.7 Acacia Technologies'!D41</f>
        <v>152699000</v>
      </c>
      <c r="O29" s="141">
        <f>'3.8 Quarterhill'!B22</f>
        <v>26564000</v>
      </c>
      <c r="P29" s="140">
        <f>'3.9 Parkervision'!B24</f>
        <v>4064187</v>
      </c>
      <c r="Q29" s="229">
        <f>'3.10 Unwired Planet'!B19</f>
        <v>27826000</v>
      </c>
      <c r="R29" s="140">
        <f>'3.11 VirnetX'!B30</f>
        <v>1550000</v>
      </c>
      <c r="S29" s="141">
        <f>'3.12 Marathon Patent Group'!B49</f>
        <v>0</v>
      </c>
      <c r="T29" s="141">
        <f>'3.13 IBM'!E29*1000000</f>
        <v>354250000</v>
      </c>
      <c r="U29" s="141">
        <f>'3.14 Tivo'!E28*1000000</f>
        <v>3966950</v>
      </c>
      <c r="V29" s="141">
        <f>'3.15 Technicolor'!E39*1000000</f>
        <v>64422753.75</v>
      </c>
      <c r="W29" s="141">
        <f>'3.16 Blackberry'!E29*1000000</f>
        <v>35000000</v>
      </c>
      <c r="X29" s="229">
        <f>'4.1 Via Licensing AAC'!K$98*1000000</f>
        <v>119626171.58999999</v>
      </c>
      <c r="Y29" s="229">
        <v>0</v>
      </c>
      <c r="Z29" s="229">
        <f>'4.3 MPEGLA MPEG4'!K$129*1000000</f>
        <v>110804932.99999993</v>
      </c>
      <c r="AA29" s="229">
        <f>'4.4 MPEGLA AVC H.264'!K$117*1000000</f>
        <v>68349576.299999967</v>
      </c>
      <c r="AB29" s="228">
        <v>0</v>
      </c>
      <c r="AC29" s="140">
        <v>0</v>
      </c>
      <c r="AD29" s="229">
        <f>AD28</f>
        <v>86982900</v>
      </c>
      <c r="AE29" s="12"/>
      <c r="AF29" s="229">
        <f>'4.9 MPEGLA HEVC'!A63*1000000</f>
        <v>50000000</v>
      </c>
      <c r="AG29" s="229">
        <f>'4.10 HEVC Advance'!A106*1000000</f>
        <v>30000000</v>
      </c>
      <c r="AH29" s="141">
        <v>0</v>
      </c>
      <c r="AK29" s="141">
        <v>2400000</v>
      </c>
      <c r="AM29" s="228">
        <f t="shared" si="13"/>
        <v>108333333.33333333</v>
      </c>
      <c r="AN29" s="140">
        <f>F29</f>
        <v>655360000</v>
      </c>
      <c r="AO29" s="141">
        <f>'5.7 Conversant IP'!E42*1000000</f>
        <v>34950012.207000002</v>
      </c>
      <c r="AP29" s="151">
        <f t="shared" si="14"/>
        <v>14191623148.251152</v>
      </c>
      <c r="AQ29" s="141"/>
      <c r="AR29" s="140">
        <f t="shared" si="7"/>
        <v>10679127886.232193</v>
      </c>
      <c r="AS29" s="140">
        <f t="shared" si="15"/>
        <v>1206965680.8899999</v>
      </c>
      <c r="AT29" s="140">
        <f t="shared" si="7"/>
        <v>1690863335.5886266</v>
      </c>
      <c r="AU29" s="140">
        <f t="shared" si="7"/>
        <v>614666245.54033339</v>
      </c>
      <c r="AV29" s="200">
        <f t="shared" si="8"/>
        <v>0</v>
      </c>
      <c r="AW29" s="141"/>
      <c r="AX29" s="141"/>
      <c r="AY29" s="140">
        <f t="shared" si="16"/>
        <v>12924816221.820818</v>
      </c>
      <c r="AZ29" s="140">
        <f t="shared" si="17"/>
        <v>801043345.54033339</v>
      </c>
      <c r="BA29" s="140">
        <f t="shared" si="17"/>
        <v>465763580.88999987</v>
      </c>
      <c r="BB29" s="200">
        <f>IF(SUM(AW29:BA29)-AP29=0,0,1)</f>
        <v>1</v>
      </c>
    </row>
    <row r="30" spans="1:54">
      <c r="A30" s="541" t="s">
        <v>439</v>
      </c>
      <c r="B30" s="541"/>
      <c r="C30" s="541"/>
      <c r="D30" s="541"/>
      <c r="E30" s="21"/>
      <c r="F30" s="221"/>
      <c r="G30" s="152"/>
      <c r="J30" s="21"/>
      <c r="R30" s="149"/>
      <c r="AP30" s="149"/>
      <c r="AQ30" s="149"/>
    </row>
    <row r="32" spans="1:54" s="231" customFormat="1">
      <c r="A32" s="231" t="s">
        <v>849</v>
      </c>
      <c r="G32" s="360" t="s">
        <v>849</v>
      </c>
      <c r="AH32" s="262"/>
      <c r="AI32" s="331"/>
      <c r="AJ32" s="262"/>
      <c r="AK32" s="331"/>
      <c r="AL32" s="331"/>
      <c r="AM32" s="262"/>
      <c r="AN32" s="262"/>
      <c r="AO32" s="262"/>
      <c r="AQ32" s="360"/>
      <c r="AV32" s="531"/>
      <c r="AX32" s="360"/>
    </row>
    <row r="33" spans="1:50" s="231" customFormat="1">
      <c r="A33" s="394">
        <v>2016</v>
      </c>
      <c r="G33" s="394">
        <v>2015</v>
      </c>
      <c r="AH33" s="262"/>
      <c r="AI33" s="331"/>
      <c r="AJ33" s="262"/>
      <c r="AK33" s="331"/>
      <c r="AL33" s="331"/>
      <c r="AM33" s="262"/>
      <c r="AN33" s="262"/>
      <c r="AO33" s="262"/>
      <c r="AQ33" s="360"/>
      <c r="AV33" s="531"/>
      <c r="AX33" s="360"/>
    </row>
    <row r="34" spans="1:50">
      <c r="B34" s="66" t="s">
        <v>763</v>
      </c>
      <c r="C34" s="66" t="s">
        <v>764</v>
      </c>
      <c r="D34" s="66" t="s">
        <v>765</v>
      </c>
      <c r="E34" s="80" t="s">
        <v>30</v>
      </c>
      <c r="G34" s="360"/>
      <c r="H34" s="66" t="str">
        <f t="shared" ref="H34" si="18">B34</f>
        <v>Public Corp</v>
      </c>
      <c r="I34" s="66" t="str">
        <f t="shared" ref="I34" si="19">C34</f>
        <v>Private Corp</v>
      </c>
      <c r="J34" s="66" t="str">
        <f t="shared" ref="J34" si="20">D34</f>
        <v>Pool</v>
      </c>
      <c r="K34" s="80" t="str">
        <f t="shared" ref="K34:K46" si="21">E34</f>
        <v>Total</v>
      </c>
      <c r="L34" s="360"/>
    </row>
    <row r="35" spans="1:50">
      <c r="A35" t="s">
        <v>480</v>
      </c>
      <c r="B35" s="96">
        <f>SUM($B29:$F29,$P29:$R29)</f>
        <v>10679127886.232193</v>
      </c>
      <c r="C35" s="96">
        <v>0</v>
      </c>
      <c r="D35" s="96">
        <v>0</v>
      </c>
      <c r="E35" s="97">
        <f>SUM(B35:D35)</f>
        <v>10679127886.232193</v>
      </c>
      <c r="F35" s="149">
        <f>E35-$AR29</f>
        <v>0</v>
      </c>
      <c r="G35" s="360" t="str">
        <f t="shared" ref="G35:G46" si="22">A35</f>
        <v>Confirmed</v>
      </c>
      <c r="H35" s="96">
        <f>SUM($B28:$F28,$P28:$R28)</f>
        <v>11280132214.293592</v>
      </c>
      <c r="I35" s="96">
        <v>0</v>
      </c>
      <c r="J35" s="96">
        <v>0</v>
      </c>
      <c r="K35" s="97">
        <f>SUM(H35:J35)</f>
        <v>11280132214.293592</v>
      </c>
      <c r="L35" s="149">
        <f>K35-$AR28</f>
        <v>0</v>
      </c>
    </row>
    <row r="36" spans="1:50">
      <c r="A36" t="s">
        <v>499</v>
      </c>
      <c r="B36" s="96">
        <f>$G29</f>
        <v>828185000</v>
      </c>
      <c r="C36" s="96">
        <v>0</v>
      </c>
      <c r="D36" s="96">
        <f>SUM($X29,$Z29:$AA29,$AF29:$AG29)</f>
        <v>378780680.88999987</v>
      </c>
      <c r="E36" s="97">
        <f t="shared" ref="E36:E39" si="23">SUM(B36:D36)</f>
        <v>1206965680.8899999</v>
      </c>
      <c r="F36" s="149">
        <f>E36-$AS29</f>
        <v>0</v>
      </c>
      <c r="G36" s="360" t="str">
        <f t="shared" si="22"/>
        <v>Documented</v>
      </c>
      <c r="H36" s="96">
        <f>$G28</f>
        <v>1134500000</v>
      </c>
      <c r="I36" s="96">
        <v>0</v>
      </c>
      <c r="J36" s="96">
        <f>SUM($X28,$Z28:$AA28,$AF28:$AG28)</f>
        <v>311408406.70200306</v>
      </c>
      <c r="K36" s="97">
        <f t="shared" ref="K36:K39" si="24">SUM(H36:J36)</f>
        <v>1445908406.702003</v>
      </c>
      <c r="L36" s="149">
        <f>K36-$AS28</f>
        <v>0</v>
      </c>
    </row>
    <row r="37" spans="1:50">
      <c r="A37" t="s">
        <v>604</v>
      </c>
      <c r="B37" s="96">
        <f>SUM($H29:$J29,$L29:$O29, $S29:$W29)</f>
        <v>1035503335.5886266</v>
      </c>
      <c r="C37" s="96">
        <f>SUM($AN29)</f>
        <v>655360000</v>
      </c>
      <c r="D37" s="96">
        <f>SUM($Y29)</f>
        <v>0</v>
      </c>
      <c r="E37" s="97">
        <f t="shared" si="23"/>
        <v>1690863335.5886266</v>
      </c>
      <c r="F37" s="149">
        <f>E37-$AT29</f>
        <v>0</v>
      </c>
      <c r="G37" s="360" t="str">
        <f t="shared" si="22"/>
        <v>Approximated</v>
      </c>
      <c r="H37" s="96">
        <f>SUM($H28:$J28,$L28:$O28, $S28:$W28)</f>
        <v>871263710.11663139</v>
      </c>
      <c r="I37" s="96">
        <f>SUM($AN28)</f>
        <v>432488000</v>
      </c>
      <c r="J37" s="96">
        <f>SUM($Y28)</f>
        <v>0</v>
      </c>
      <c r="K37" s="97">
        <f t="shared" si="24"/>
        <v>1303751710.1166315</v>
      </c>
      <c r="L37" s="149">
        <f>K37-$AT28</f>
        <v>0</v>
      </c>
    </row>
    <row r="38" spans="1:50">
      <c r="A38" t="s">
        <v>603</v>
      </c>
      <c r="B38" s="96">
        <f>SUM($K29)</f>
        <v>382000000</v>
      </c>
      <c r="C38" s="96">
        <f>SUM($AI29:$AM29,$AO29)</f>
        <v>145683345.54033333</v>
      </c>
      <c r="D38" s="96">
        <f>SUM($AH29,$AB29:$AE29)</f>
        <v>86982900</v>
      </c>
      <c r="E38" s="97">
        <f t="shared" si="23"/>
        <v>614666245.54033327</v>
      </c>
      <c r="F38" s="149">
        <f>E38-$AU29</f>
        <v>0</v>
      </c>
      <c r="G38" s="360" t="str">
        <f t="shared" si="22"/>
        <v>Researched</v>
      </c>
      <c r="H38" s="96">
        <f>SUM($K28)</f>
        <v>245000000</v>
      </c>
      <c r="I38" s="96">
        <f>SUM($AI28:$AM28,$AO28)</f>
        <v>144461024.15433335</v>
      </c>
      <c r="J38" s="96">
        <f>SUM($AH28,$AB28:$AE28)</f>
        <v>86982900</v>
      </c>
      <c r="K38" s="97">
        <f t="shared" si="24"/>
        <v>476443924.15433335</v>
      </c>
      <c r="L38" s="149">
        <f>K38-$AU28</f>
        <v>0</v>
      </c>
    </row>
    <row r="39" spans="1:50">
      <c r="A39" s="18" t="s">
        <v>30</v>
      </c>
      <c r="B39" s="117">
        <f>SUM(B35:B38)</f>
        <v>12924816221.82082</v>
      </c>
      <c r="C39" s="117">
        <f>SUM($C35:$C38)</f>
        <v>801043345.54033327</v>
      </c>
      <c r="D39" s="117">
        <f>SUM(D35:D38)</f>
        <v>465763580.88999987</v>
      </c>
      <c r="E39" s="158">
        <f t="shared" si="23"/>
        <v>14191623148.251152</v>
      </c>
      <c r="F39" s="149"/>
      <c r="G39" s="18" t="str">
        <f t="shared" si="22"/>
        <v>Total</v>
      </c>
      <c r="H39" s="117">
        <f>SUM(H35:H38)</f>
        <v>13530895924.410223</v>
      </c>
      <c r="I39" s="117">
        <f t="shared" ref="I39:J39" si="25">SUM(I35:I38)</f>
        <v>576949024.15433335</v>
      </c>
      <c r="J39" s="117">
        <f t="shared" si="25"/>
        <v>398391306.70200306</v>
      </c>
      <c r="K39" s="158">
        <f t="shared" si="24"/>
        <v>14506236255.26656</v>
      </c>
      <c r="L39" s="149"/>
    </row>
    <row r="40" spans="1:50">
      <c r="B40" s="149">
        <f>B39-$AY29</f>
        <v>0</v>
      </c>
      <c r="C40" s="149">
        <f>C39-$AZ29</f>
        <v>0</v>
      </c>
      <c r="D40" s="149">
        <f>D39-$BA29</f>
        <v>0</v>
      </c>
      <c r="E40" s="149">
        <f>E39-$AP29</f>
        <v>0</v>
      </c>
      <c r="F40" s="149"/>
      <c r="G40" s="360"/>
      <c r="H40" s="149">
        <f>H39-$AY28</f>
        <v>0</v>
      </c>
      <c r="I40" s="149">
        <f>I39-$AZ28</f>
        <v>0</v>
      </c>
      <c r="J40" s="149">
        <f>J39-$BA28</f>
        <v>0</v>
      </c>
      <c r="K40" s="149">
        <f>K39-$AP28</f>
        <v>0</v>
      </c>
      <c r="L40" s="149"/>
    </row>
    <row r="42" spans="1:50">
      <c r="A42" s="231" t="s">
        <v>480</v>
      </c>
      <c r="B42" s="208">
        <f>B35/$E$39</f>
        <v>0.75249517089581064</v>
      </c>
      <c r="C42" s="208">
        <f t="shared" ref="C42:E42" si="26">C35/$E$39</f>
        <v>0</v>
      </c>
      <c r="D42" s="208">
        <f t="shared" si="26"/>
        <v>0</v>
      </c>
      <c r="E42" s="396">
        <f t="shared" si="26"/>
        <v>0.75249517089581064</v>
      </c>
      <c r="G42" s="360" t="str">
        <f t="shared" si="22"/>
        <v>Confirmed</v>
      </c>
      <c r="H42" s="208">
        <f>B35/$K$39</f>
        <v>0.73617495939755451</v>
      </c>
      <c r="I42" s="208">
        <f t="shared" ref="I42:K45" si="27">C35/$K$39</f>
        <v>0</v>
      </c>
      <c r="J42" s="400">
        <f t="shared" si="27"/>
        <v>0</v>
      </c>
      <c r="K42" s="208">
        <f t="shared" si="27"/>
        <v>0.73617495939755451</v>
      </c>
    </row>
    <row r="43" spans="1:50">
      <c r="A43" s="231" t="s">
        <v>499</v>
      </c>
      <c r="B43" s="208">
        <f t="shared" ref="B43:E43" si="28">B36/$E$39</f>
        <v>5.8357313419928156E-2</v>
      </c>
      <c r="C43" s="208">
        <f t="shared" si="28"/>
        <v>0</v>
      </c>
      <c r="D43" s="208">
        <f t="shared" si="28"/>
        <v>2.6690441039274454E-2</v>
      </c>
      <c r="E43" s="396">
        <f t="shared" si="28"/>
        <v>8.504775445920261E-2</v>
      </c>
      <c r="G43" s="360" t="str">
        <f t="shared" si="22"/>
        <v>Documented</v>
      </c>
      <c r="H43" s="208">
        <f t="shared" ref="H43:H45" si="29">B36/$K$39</f>
        <v>5.7091652543527507E-2</v>
      </c>
      <c r="I43" s="208">
        <f t="shared" ref="I43:I46" si="30">C36/$K$39</f>
        <v>0</v>
      </c>
      <c r="J43" s="400">
        <f t="shared" ref="J43:J46" si="31">D36/$K$39</f>
        <v>2.6111575340742276E-2</v>
      </c>
      <c r="K43" s="208">
        <f t="shared" si="27"/>
        <v>8.3203227884269787E-2</v>
      </c>
    </row>
    <row r="44" spans="1:50">
      <c r="A44" s="231" t="s">
        <v>604</v>
      </c>
      <c r="B44" s="208">
        <f t="shared" ref="B44:E44" si="32">B37/$E$39</f>
        <v>7.2965814041942953E-2</v>
      </c>
      <c r="C44" s="208">
        <f t="shared" si="32"/>
        <v>4.6179354761175483E-2</v>
      </c>
      <c r="D44" s="208">
        <f t="shared" si="32"/>
        <v>0</v>
      </c>
      <c r="E44" s="396">
        <f t="shared" si="32"/>
        <v>0.11914516880311844</v>
      </c>
      <c r="G44" s="360" t="str">
        <f t="shared" si="22"/>
        <v>Approximated</v>
      </c>
      <c r="H44" s="208">
        <f t="shared" si="29"/>
        <v>7.1383322135862917E-2</v>
      </c>
      <c r="I44" s="208">
        <f t="shared" si="30"/>
        <v>4.5177811009528286E-2</v>
      </c>
      <c r="J44" s="400">
        <f t="shared" si="31"/>
        <v>0</v>
      </c>
      <c r="K44" s="208">
        <f t="shared" si="27"/>
        <v>0.11656113314539121</v>
      </c>
    </row>
    <row r="45" spans="1:50">
      <c r="A45" s="231" t="s">
        <v>603</v>
      </c>
      <c r="B45" s="208">
        <f t="shared" ref="B45:E45" si="33">B38/$E$39</f>
        <v>2.691728747370763E-2</v>
      </c>
      <c r="C45" s="208">
        <f t="shared" si="33"/>
        <v>1.0265446314242499E-2</v>
      </c>
      <c r="D45" s="208">
        <f t="shared" si="33"/>
        <v>6.1291720539182288E-3</v>
      </c>
      <c r="E45" s="396">
        <f t="shared" si="33"/>
        <v>4.3311905841868358E-2</v>
      </c>
      <c r="G45" s="360" t="str">
        <f t="shared" si="22"/>
        <v>Researched</v>
      </c>
      <c r="H45" s="208">
        <f t="shared" si="29"/>
        <v>2.6333501900695507E-2</v>
      </c>
      <c r="I45" s="208">
        <f t="shared" si="30"/>
        <v>1.0042808001795937E-2</v>
      </c>
      <c r="J45" s="400">
        <f t="shared" si="31"/>
        <v>5.9962417865916419E-3</v>
      </c>
      <c r="K45" s="208">
        <f t="shared" si="27"/>
        <v>4.2372551689083077E-2</v>
      </c>
    </row>
    <row r="46" spans="1:50">
      <c r="A46" s="18" t="s">
        <v>30</v>
      </c>
      <c r="B46" s="397">
        <f t="shared" ref="B46:E46" si="34">B39/$E$39</f>
        <v>0.91073558583138936</v>
      </c>
      <c r="C46" s="397">
        <f t="shared" si="34"/>
        <v>5.6444801075417973E-2</v>
      </c>
      <c r="D46" s="397">
        <f t="shared" si="34"/>
        <v>3.281961309319268E-2</v>
      </c>
      <c r="E46" s="398">
        <f t="shared" si="34"/>
        <v>1</v>
      </c>
      <c r="G46" s="18" t="str">
        <f t="shared" si="22"/>
        <v>Total</v>
      </c>
      <c r="H46" s="397">
        <f t="shared" ref="H46" si="35">B39/$K$39</f>
        <v>0.89098343597764051</v>
      </c>
      <c r="I46" s="397">
        <f t="shared" si="30"/>
        <v>5.5220619011324225E-2</v>
      </c>
      <c r="J46" s="401">
        <f t="shared" si="31"/>
        <v>3.2107817127333918E-2</v>
      </c>
      <c r="K46" s="397">
        <f t="shared" si="21"/>
        <v>1</v>
      </c>
    </row>
    <row r="47" spans="1:50">
      <c r="AS47" s="232"/>
      <c r="AT47" s="232"/>
    </row>
    <row r="48" spans="1:50">
      <c r="AS48" s="232"/>
      <c r="AT48" s="232"/>
    </row>
  </sheetData>
  <mergeCells count="2">
    <mergeCell ref="AR11:AU11"/>
    <mergeCell ref="A30:D30"/>
  </mergeCells>
  <phoneticPr fontId="16" type="noConversion"/>
  <hyperlinks>
    <hyperlink ref="B7" location="'2.1 Qualcomm'!A1" display="'2.1 Qualcomm'!A1"/>
    <hyperlink ref="C7" location="'2.2 Ericsson'!A1" display="'2.2 Ericsson'!A1"/>
    <hyperlink ref="D7" location="'2.3 Nokia'!A1" display="'2.3 Nokia'!A1"/>
    <hyperlink ref="F7" location="'2.4 Interdigital'!A1" display="'2.4 Interdigital'!A1"/>
    <hyperlink ref="G7" location="'2.5 Microsoft'!A1" display="'2.5 Microsoft'!A1"/>
    <hyperlink ref="E7" location="'2.3.1 Alcatel-Lucent (Nokia)'!A1" display="'2.3.1 Alcatel-Lucent (Nokia)'!A1"/>
    <hyperlink ref="H7" location="'3.1 Philips'!A1" display="'3.1 Philips'!A1"/>
    <hyperlink ref="Y7" location="'4.2 Via Licensing LTE'!A1" display="'4.2 Via Licensing LTE'!A1"/>
    <hyperlink ref="Z7" location="'4.3 MPEGLA MPEG4'!A1" display="'4.3 MPEGLA MPEG4'!A1"/>
    <hyperlink ref="AA7" location="'4.4 MPEGLA AVC H.264'!A1" display="'4.4 MPEGLA AVC H.264'!A1"/>
    <hyperlink ref="AB7" location="'4.5 Sisvel LTE'!A1" display="'4.5 Sisvel LTE'!A1"/>
    <hyperlink ref="AC7" location="'4.6 Sisvel Wifi'!A1" display="'4.6 Sisvel Wifi'!A1"/>
    <hyperlink ref="AD7" location="'4.7 SIPROLab WCDMA'!A1" display="'4.7 SIPROLab WCDMA'!A1"/>
    <hyperlink ref="AE7" location="'4.8 Vectis WiFi'!A1" display="'4.8 Vectis WiFi'!A1"/>
    <hyperlink ref="AF7" location="'4.8 Vectis WiFi'!A1" display="'4.8 Vectis WiFi'!A1"/>
    <hyperlink ref="AG7" location="'4.8 Vectis WiFi'!A1" display="'4.8 Vectis WiFi'!A1"/>
    <hyperlink ref="AN7" location="'5.6 Huawei'!A1" display="'5.6 Huawei'!A1"/>
    <hyperlink ref="AI7" location="'5.1 SISVEL Wireless'!A1" display="'5.1 SISVEL Wireless'!A1"/>
    <hyperlink ref="AJ7" location="'5.2 IPCom'!A1" display="'5.2 IPCom'!A1"/>
    <hyperlink ref="AK7" location="'5.3 PanOptis-Optis'!A1" display="'5.3 PanOptis-Optis'!A1"/>
    <hyperlink ref="AL7" location="'5.4 IP Bridge'!A1" display="'5.4 IP Bridge'!A1"/>
    <hyperlink ref="AM7" location="'5.5 Intellectual Ventures'!A1" display="'5.5 Intellectual Ventures'!A1"/>
    <hyperlink ref="AO7" location="'5.7 Conversant IP'!A1" display="'5.7 Conversant IP'!A1"/>
    <hyperlink ref="AH7" location="'4.11 Velos Media HEVC'!A1" display="'4.11 Velos Media HEVC'!A1"/>
    <hyperlink ref="I7" location="'3.2 ATT 802.11'!A1" display="'3.2 ATT 802.11'!A1"/>
    <hyperlink ref="J7" location="'3.3 ATT MPEG4'!A1" display="'3.3 ATT MPEG4'!A1"/>
    <hyperlink ref="K7" location="'3.4 Broadcom'!A1" display="'3.4 Broadcom'!A1"/>
    <hyperlink ref="L7" location="'3.5 Xperi'!A1" display="'3.5 Xperi'!A1"/>
    <hyperlink ref="M7" location="'3.6 Rambus'!A1" display="'3.6 Rambus'!A1"/>
    <hyperlink ref="N7" location="'3.7 Acacia Technologies'!A1" display="'3.7 Acacia Technologies'!A1"/>
    <hyperlink ref="O7" location="'3.8 WiLAN'!A1" display="'3.8 WiLAN'!A1"/>
    <hyperlink ref="P7" location="'3.9 Parkervision'!A1" display="'3.9 Parkervision'!A1"/>
    <hyperlink ref="Q7" location="'3.10 Unwired Planet'!A1" display="3.10"/>
    <hyperlink ref="R7" location="'3.11 VirnetX'!A1" display="3.11"/>
    <hyperlink ref="S7" location="'3.12 Marathon Patent Group'!A1" display="3.12"/>
    <hyperlink ref="T7" location="'3.13 IBM'!A1" display="3.13"/>
    <hyperlink ref="U7" location="'3.14 Tivo'!A1" display="3.14"/>
    <hyperlink ref="W7" location="'3.16 Blackberry'!A1" display="3.16"/>
    <hyperlink ref="X7" location="'4.1 Via Licensing AAC'!A1" display="3.16"/>
    <hyperlink ref="V7" location="'3.15 Technicolor'!A1" display="3.15"/>
  </hyperlinks>
  <pageMargins left="0.7" right="0.7" top="0.75" bottom="0.75" header="0.3" footer="0.3"/>
  <pageSetup orientation="landscape" horizontalDpi="4294967292" verticalDpi="4294967292" r:id="rId1"/>
  <headerFooter>
    <oddHeader>&amp;LA New Dataset on Mobile Phone _x000D_Patent License Royalties&amp;C&amp;A&amp;RAugust 2017 Update</oddHeader>
    <oddFooter>&amp;LAlexander Galetovic, Stephen Haber, _x000D_and Lew Zaretzki&amp;CPage &amp;P of &amp;N</oddFooter>
  </headerFooter>
  <extLst>
    <ext xmlns:mx="http://schemas.microsoft.com/office/mac/excel/2008/main" uri="{64002731-A6B0-56B0-2670-7721B7C09600}">
      <mx:PLV Mode="1"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45"/>
  <sheetViews>
    <sheetView showGridLines="0" view="pageLayout" zoomScale="79" zoomScalePageLayoutView="79" workbookViewId="0">
      <selection activeCell="D44" sqref="D44"/>
    </sheetView>
  </sheetViews>
  <sheetFormatPr baseColWidth="10" defaultColWidth="10.796875" defaultRowHeight="14.4"/>
  <cols>
    <col min="1" max="1" width="4.296875" style="481" customWidth="1"/>
    <col min="2" max="2" width="6" style="480" customWidth="1"/>
    <col min="3" max="3" width="20" style="483" customWidth="1"/>
    <col min="4" max="4" width="14.69921875" style="483" customWidth="1"/>
    <col min="5" max="5" width="11.69921875" style="480" customWidth="1"/>
    <col min="6" max="6" width="8.19921875" style="481" customWidth="1"/>
    <col min="7" max="23" width="6.19921875" style="483" customWidth="1"/>
    <col min="24" max="24" width="17.69921875" style="483" customWidth="1"/>
    <col min="25" max="16384" width="10.796875" style="483"/>
  </cols>
  <sheetData>
    <row r="1" spans="1:29" s="479" customFormat="1" ht="28.8">
      <c r="A1" s="475" t="s">
        <v>1397</v>
      </c>
      <c r="B1" s="475"/>
      <c r="C1" s="476"/>
      <c r="D1" s="476"/>
      <c r="E1" s="475"/>
      <c r="F1" s="477" t="s">
        <v>1398</v>
      </c>
      <c r="G1" s="478">
        <v>2000</v>
      </c>
      <c r="H1" s="478">
        <f>G1+1</f>
        <v>2001</v>
      </c>
      <c r="I1" s="478">
        <f t="shared" ref="I1:V2" si="0">H1+1</f>
        <v>2002</v>
      </c>
      <c r="J1" s="478">
        <f t="shared" si="0"/>
        <v>2003</v>
      </c>
      <c r="K1" s="478">
        <f t="shared" si="0"/>
        <v>2004</v>
      </c>
      <c r="L1" s="478">
        <f t="shared" si="0"/>
        <v>2005</v>
      </c>
      <c r="M1" s="478">
        <f t="shared" si="0"/>
        <v>2006</v>
      </c>
      <c r="N1" s="478">
        <f t="shared" si="0"/>
        <v>2007</v>
      </c>
      <c r="O1" s="478">
        <f t="shared" si="0"/>
        <v>2008</v>
      </c>
      <c r="P1" s="478">
        <f t="shared" si="0"/>
        <v>2009</v>
      </c>
      <c r="Q1" s="478">
        <f t="shared" si="0"/>
        <v>2010</v>
      </c>
      <c r="R1" s="478">
        <f t="shared" si="0"/>
        <v>2011</v>
      </c>
      <c r="S1" s="478">
        <f t="shared" si="0"/>
        <v>2012</v>
      </c>
      <c r="T1" s="478">
        <f t="shared" si="0"/>
        <v>2013</v>
      </c>
      <c r="U1" s="478">
        <f t="shared" si="0"/>
        <v>2014</v>
      </c>
      <c r="V1" s="478">
        <f t="shared" si="0"/>
        <v>2015</v>
      </c>
      <c r="W1" s="478">
        <v>2016</v>
      </c>
    </row>
    <row r="2" spans="1:29" s="479" customFormat="1">
      <c r="A2" s="480"/>
      <c r="B2" s="480"/>
      <c r="E2" s="480"/>
      <c r="F2" s="459">
        <v>4</v>
      </c>
      <c r="G2" s="459">
        <v>8</v>
      </c>
      <c r="H2" s="459">
        <f>G2+1</f>
        <v>9</v>
      </c>
      <c r="I2" s="459">
        <f t="shared" si="0"/>
        <v>10</v>
      </c>
      <c r="J2" s="459">
        <f t="shared" si="0"/>
        <v>11</v>
      </c>
      <c r="K2" s="459">
        <f t="shared" si="0"/>
        <v>12</v>
      </c>
      <c r="L2" s="459">
        <f t="shared" si="0"/>
        <v>13</v>
      </c>
      <c r="M2" s="459">
        <f t="shared" si="0"/>
        <v>14</v>
      </c>
      <c r="N2" s="459">
        <f t="shared" si="0"/>
        <v>15</v>
      </c>
      <c r="O2" s="459">
        <f t="shared" si="0"/>
        <v>16</v>
      </c>
      <c r="P2" s="459">
        <f t="shared" si="0"/>
        <v>17</v>
      </c>
      <c r="Q2" s="459">
        <f t="shared" si="0"/>
        <v>18</v>
      </c>
      <c r="R2" s="459">
        <f t="shared" si="0"/>
        <v>19</v>
      </c>
      <c r="S2" s="459">
        <f t="shared" si="0"/>
        <v>20</v>
      </c>
      <c r="T2" s="459">
        <f t="shared" si="0"/>
        <v>21</v>
      </c>
      <c r="U2" s="459">
        <f t="shared" si="0"/>
        <v>22</v>
      </c>
      <c r="V2" s="459">
        <f t="shared" si="0"/>
        <v>23</v>
      </c>
      <c r="W2" s="459">
        <f t="shared" ref="W2" si="1">V2+1</f>
        <v>24</v>
      </c>
    </row>
    <row r="3" spans="1:29">
      <c r="A3" s="481">
        <v>1</v>
      </c>
      <c r="B3" s="482">
        <f>VLOOKUP($C3,'Table of Contents'!$B$25:$E$72,4,FALSE)</f>
        <v>2.1</v>
      </c>
      <c r="C3" s="483" t="s">
        <v>430</v>
      </c>
      <c r="D3" s="484" t="str">
        <f>VLOOKUP($C3,'Table of Contents'!$B$25:$E$72,2,FALSE)</f>
        <v>Confirmed</v>
      </c>
      <c r="E3" s="484" t="str">
        <f>VLOOKUP($C3,'Table of Contents'!$B$25:$E$72,3,FALSE)</f>
        <v>Public Corp</v>
      </c>
      <c r="F3" s="458">
        <f>HLOOKUP($C3,'1.7 Revenues by Licensor'!$B$6:$AO$29,F$2,FALSE)</f>
        <v>2000</v>
      </c>
      <c r="G3" s="471">
        <f>IF(G$1&gt;=$F3,HLOOKUP($C3,'1.7 Revenues by Licensor'!$B$6:$AO$29,G$2,FALSE)/1000000,"")</f>
        <v>705</v>
      </c>
      <c r="H3" s="471">
        <f>IF(H$1&gt;=$F3,HLOOKUP($C3,'1.7 Revenues by Licensor'!$B$6:$AO$29,H$2,FALSE)/1000000,"")</f>
        <v>782</v>
      </c>
      <c r="I3" s="471">
        <f>IF(I$1&gt;=$F3,HLOOKUP($C3,'1.7 Revenues by Licensor'!$B$6:$AO$29,I$2,FALSE)/1000000,"")</f>
        <v>847</v>
      </c>
      <c r="J3" s="471">
        <f>IF(J$1&gt;=$F3,HLOOKUP($C3,'1.7 Revenues by Licensor'!$B$6:$AO$29,J$2,FALSE)/1000000,"")</f>
        <v>1000</v>
      </c>
      <c r="K3" s="471">
        <f>IF(K$1&gt;=$F3,HLOOKUP($C3,'1.7 Revenues by Licensor'!$B$6:$AO$29,K$2,FALSE)/1000000,"")</f>
        <v>1331</v>
      </c>
      <c r="L3" s="471">
        <f>IF(L$1&gt;=$F3,HLOOKUP($C3,'1.7 Revenues by Licensor'!$B$6:$AO$29,L$2,FALSE)/1000000,"")</f>
        <v>1839</v>
      </c>
      <c r="M3" s="471">
        <f>IF(M$1&gt;=$F3,HLOOKUP($C3,'1.7 Revenues by Licensor'!$B$6:$AO$29,M$2,FALSE)/1000000,"")</f>
        <v>2467</v>
      </c>
      <c r="N3" s="471">
        <f>IF(N$1&gt;=$F3,HLOOKUP($C3,'1.7 Revenues by Licensor'!$B$6:$AO$29,N$2,FALSE)/1000000,"")</f>
        <v>2772</v>
      </c>
      <c r="O3" s="471">
        <f>IF(O$1&gt;=$F3,HLOOKUP($C3,'1.7 Revenues by Licensor'!$B$6:$AO$29,O$2,FALSE)/1000000,"")</f>
        <v>3622</v>
      </c>
      <c r="P3" s="471">
        <f>IF(P$1&gt;=$F3,HLOOKUP($C3,'1.7 Revenues by Licensor'!$B$6:$AO$29,P$2,FALSE)/1000000,"")</f>
        <v>3605</v>
      </c>
      <c r="Q3" s="471">
        <f>IF(Q$1&gt;=$F3,HLOOKUP($C3,'1.7 Revenues by Licensor'!$B$6:$AO$29,Q$2,FALSE)/1000000,"")</f>
        <v>3659</v>
      </c>
      <c r="R3" s="471">
        <f>IF(R$1&gt;=$F3,HLOOKUP($C3,'1.7 Revenues by Licensor'!$B$6:$AO$29,R$2,FALSE)/1000000,"")</f>
        <v>5422</v>
      </c>
      <c r="S3" s="471">
        <f>IF(S$1&gt;=$F3,HLOOKUP($C3,'1.7 Revenues by Licensor'!$B$6:$AO$29,S$2,FALSE)/1000000,"")</f>
        <v>6327</v>
      </c>
      <c r="T3" s="471">
        <f>IF(T$1&gt;=$F3,HLOOKUP($C3,'1.7 Revenues by Licensor'!$B$6:$AO$29,T$2,FALSE)/1000000,"")</f>
        <v>7554</v>
      </c>
      <c r="U3" s="471">
        <f>IF(U$1&gt;=$F3,HLOOKUP($C3,'1.7 Revenues by Licensor'!$B$6:$AO$29,U$2,FALSE)/1000000,"")</f>
        <v>7569</v>
      </c>
      <c r="V3" s="471">
        <f>IF(V$1&gt;=$F3,HLOOKUP($C3,'1.7 Revenues by Licensor'!$B$6:$AO$29,V$2,FALSE)/1000000,"")</f>
        <v>7947</v>
      </c>
      <c r="W3" s="471">
        <f>IF(W$1&gt;=$F3,HLOOKUP($C3,'1.7 Revenues by Licensor'!$B$6:$AO$29,W$2,FALSE)/1000000,"")</f>
        <v>7664</v>
      </c>
      <c r="Z3" s="481"/>
      <c r="AA3" s="481"/>
      <c r="AB3" s="481"/>
      <c r="AC3" s="481"/>
    </row>
    <row r="4" spans="1:29">
      <c r="A4" s="481">
        <f>1+A3</f>
        <v>2</v>
      </c>
      <c r="B4" s="482">
        <f>VLOOKUP($C4,'Table of Contents'!$B$25:$E$72,4,FALSE)</f>
        <v>2.2000000000000002</v>
      </c>
      <c r="C4" s="483" t="s">
        <v>432</v>
      </c>
      <c r="D4" s="484" t="str">
        <f>VLOOKUP($C4,'Table of Contents'!$B$25:$E$72,2,FALSE)</f>
        <v>Confirmed</v>
      </c>
      <c r="E4" s="484" t="str">
        <f>VLOOKUP($C4,'Table of Contents'!$B$25:$E$72,3,FALSE)</f>
        <v>Public Corp</v>
      </c>
      <c r="F4" s="458">
        <v>2004</v>
      </c>
      <c r="G4" s="471" t="str">
        <f>IF(G$1&gt;=$F4,HLOOKUP($C4,'1.7 Revenues by Licensor'!$B$6:$AO$29,G$2,FALSE)/1000000,"")</f>
        <v/>
      </c>
      <c r="H4" s="471" t="str">
        <f>IF(H$1&gt;=$F4,HLOOKUP($C4,'1.7 Revenues by Licensor'!$B$6:$AO$29,H$2,FALSE)/1000000,"")</f>
        <v/>
      </c>
      <c r="I4" s="471" t="str">
        <f>IF(I$1&gt;=$F4,HLOOKUP($C4,'1.7 Revenues by Licensor'!$B$6:$AO$29,I$2,FALSE)/1000000,"")</f>
        <v/>
      </c>
      <c r="J4" s="471" t="str">
        <f>IF(J$1&gt;=$F4,HLOOKUP($C4,'1.7 Revenues by Licensor'!$B$6:$AO$29,J$2,FALSE)/1000000,"")</f>
        <v/>
      </c>
      <c r="K4" s="471">
        <f>IF(K$1&gt;=$F4,HLOOKUP($C4,'1.7 Revenues by Licensor'!$B$6:$AO$29,K$2,FALSE)/1000000,"")</f>
        <v>339.33442444080742</v>
      </c>
      <c r="L4" s="471">
        <f>IF(L$1&gt;=$F4,HLOOKUP($C4,'1.7 Revenues by Licensor'!$B$6:$AO$29,L$2,FALSE)/1000000,"")</f>
        <v>517.22761740055876</v>
      </c>
      <c r="M4" s="471">
        <f>IF(M$1&gt;=$F4,HLOOKUP($C4,'1.7 Revenues by Licensor'!$B$6:$AO$29,M$2,FALSE)/1000000,"")</f>
        <v>718.21390462119336</v>
      </c>
      <c r="N4" s="471">
        <f>IF(N$1&gt;=$F4,HLOOKUP($C4,'1.7 Revenues by Licensor'!$B$6:$AO$29,N$2,FALSE)/1000000,"")</f>
        <v>1022.8760114231318</v>
      </c>
      <c r="O4" s="471">
        <f>IF(O$1&gt;=$F4,HLOOKUP($C4,'1.7 Revenues by Licensor'!$B$6:$AO$29,O$2,FALSE)/1000000,"")</f>
        <v>1370.8900397446707</v>
      </c>
      <c r="P4" s="471">
        <f>IF(P$1&gt;=$F4,HLOOKUP($C4,'1.7 Revenues by Licensor'!$B$6:$AO$29,P$2,FALSE)/1000000,"")</f>
        <v>1070.5211984468465</v>
      </c>
      <c r="Q4" s="471">
        <f>IF(Q$1&gt;=$F4,HLOOKUP($C4,'1.7 Revenues by Licensor'!$B$6:$AO$29,Q$2,FALSE)/1000000,"")</f>
        <v>1164.4838166770985</v>
      </c>
      <c r="R4" s="471">
        <f>IF(R$1&gt;=$F4,HLOOKUP($C4,'1.7 Revenues by Licensor'!$B$6:$AO$29,R$2,FALSE)/1000000,"")</f>
        <v>1758.4840421393335</v>
      </c>
      <c r="S4" s="471">
        <f>IF(S$1&gt;=$F4,HLOOKUP($C4,'1.7 Revenues by Licensor'!$B$6:$AO$29,S$2,FALSE)/1000000,"")</f>
        <v>1792.57406278347</v>
      </c>
      <c r="T4" s="471">
        <f>IF(T$1&gt;=$F4,HLOOKUP($C4,'1.7 Revenues by Licensor'!$B$6:$AO$29,T$2,FALSE)/1000000,"")</f>
        <v>1619.5972495088408</v>
      </c>
      <c r="U4" s="471">
        <f>IF(U$1&gt;=$F4,HLOOKUP($C4,'1.7 Revenues by Licensor'!$B$6:$AO$29,U$2,FALSE)/1000000,"")</f>
        <v>1432.6370229117911</v>
      </c>
      <c r="V4" s="471">
        <f>IF(V$1&gt;=$F4,HLOOKUP($C4,'1.7 Revenues by Licensor'!$B$6:$AO$29,V$2,FALSE)/1000000,"")</f>
        <v>1700.7903784128634</v>
      </c>
      <c r="W4" s="471">
        <f>IF(W$1&gt;=$F4,HLOOKUP($C4,'1.7 Revenues by Licensor'!$B$6:$AO$29,W$2,FALSE)/1000000,"")</f>
        <v>1164.973999232192</v>
      </c>
      <c r="Z4" s="481"/>
      <c r="AA4" s="481"/>
      <c r="AB4" s="481"/>
      <c r="AC4" s="481"/>
    </row>
    <row r="5" spans="1:29">
      <c r="A5" s="481">
        <f t="shared" ref="A5:A42" si="2">1+A4</f>
        <v>3</v>
      </c>
      <c r="B5" s="482">
        <f>VLOOKUP($C5,'Table of Contents'!$B$25:$E$72,4,FALSE)</f>
        <v>2.2999999999999998</v>
      </c>
      <c r="C5" s="483" t="s">
        <v>5</v>
      </c>
      <c r="D5" s="484" t="str">
        <f>VLOOKUP($C5,'Table of Contents'!$B$25:$E$72,2,FALSE)</f>
        <v>Confirmed</v>
      </c>
      <c r="E5" s="484" t="str">
        <f>VLOOKUP($C5,'Table of Contents'!$B$25:$E$72,3,FALSE)</f>
        <v>Public Corp</v>
      </c>
      <c r="F5" s="458">
        <v>2009</v>
      </c>
      <c r="G5" s="471" t="str">
        <f>IF(G$1&gt;=$F5,HLOOKUP($C5,'1.7 Revenues by Licensor'!$B$6:$AO$29,G$2,FALSE)/1000000,"")</f>
        <v/>
      </c>
      <c r="H5" s="471" t="str">
        <f>IF(H$1&gt;=$F5,HLOOKUP($C5,'1.7 Revenues by Licensor'!$B$6:$AO$29,H$2,FALSE)/1000000,"")</f>
        <v/>
      </c>
      <c r="I5" s="471" t="str">
        <f>IF(I$1&gt;=$F5,HLOOKUP($C5,'1.7 Revenues by Licensor'!$B$6:$AO$29,I$2,FALSE)/1000000,"")</f>
        <v/>
      </c>
      <c r="J5" s="471" t="str">
        <f>IF(J$1&gt;=$F5,HLOOKUP($C5,'1.7 Revenues by Licensor'!$B$6:$AO$29,J$2,FALSE)/1000000,"")</f>
        <v/>
      </c>
      <c r="K5" s="471" t="str">
        <f>IF(K$1&gt;=$F5,HLOOKUP($C5,'1.7 Revenues by Licensor'!$B$6:$AO$29,K$2,FALSE)/1000000,"")</f>
        <v/>
      </c>
      <c r="L5" s="471" t="str">
        <f>IF(L$1&gt;=$F5,HLOOKUP($C5,'1.7 Revenues by Licensor'!$B$6:$AO$29,L$2,FALSE)/1000000,"")</f>
        <v/>
      </c>
      <c r="M5" s="471" t="str">
        <f>IF(M$1&gt;=$F5,HLOOKUP($C5,'1.7 Revenues by Licensor'!$B$6:$AO$29,M$2,FALSE)/1000000,"")</f>
        <v/>
      </c>
      <c r="N5" s="471" t="str">
        <f>IF(N$1&gt;=$F5,HLOOKUP($C5,'1.7 Revenues by Licensor'!$B$6:$AO$29,N$2,FALSE)/1000000,"")</f>
        <v/>
      </c>
      <c r="O5" s="471" t="str">
        <f>IF(O$1&gt;=$F5,HLOOKUP($C5,'1.7 Revenues by Licensor'!$B$6:$AO$29,O$2,FALSE)/1000000,"")</f>
        <v/>
      </c>
      <c r="P5" s="471">
        <f>IF(P$1&gt;=$F5,HLOOKUP($C5,'1.7 Revenues by Licensor'!$B$6:$AO$29,P$2,FALSE)/1000000,"")</f>
        <v>697.75</v>
      </c>
      <c r="Q5" s="471">
        <f>IF(Q$1&gt;=$F5,HLOOKUP($C5,'1.7 Revenues by Licensor'!$B$6:$AO$29,Q$2,FALSE)/1000000,"")</f>
        <v>753.31200000000013</v>
      </c>
      <c r="R5" s="471">
        <f>IF(R$1&gt;=$F5,HLOOKUP($C5,'1.7 Revenues by Licensor'!$B$6:$AO$29,R$2,FALSE)/1000000,"")</f>
        <v>1323.4449999999999</v>
      </c>
      <c r="S5" s="471">
        <f>IF(S$1&gt;=$F5,HLOOKUP($C5,'1.7 Revenues by Licensor'!$B$6:$AO$29,S$2,FALSE)/1000000,"")</f>
        <v>686.67060000000004</v>
      </c>
      <c r="T5" s="471">
        <f>IF(T$1&gt;=$F5,HLOOKUP($C5,'1.7 Revenues by Licensor'!$B$6:$AO$29,T$2,FALSE)/1000000,"")</f>
        <v>702.56489999999997</v>
      </c>
      <c r="U5" s="471">
        <f>IF(U$1&gt;=$F5,HLOOKUP($C5,'1.7 Revenues by Licensor'!$B$6:$AO$29,U$2,FALSE)/1000000,"")</f>
        <v>834.87199999999996</v>
      </c>
      <c r="V5" s="471">
        <f>IF(V$1&gt;=$F5,HLOOKUP($C5,'1.7 Revenues by Licensor'!$B$6:$AO$29,V$2,FALSE)/1000000,"")</f>
        <v>1132.9864</v>
      </c>
      <c r="W5" s="471">
        <f>IF(W$1&gt;=$F5,HLOOKUP($C5,'1.7 Revenues by Licensor'!$B$6:$AO$29,W$2,FALSE)/1000000,"")</f>
        <v>1161.3536999999999</v>
      </c>
      <c r="Z5" s="481"/>
      <c r="AA5" s="481"/>
      <c r="AB5" s="481"/>
      <c r="AC5" s="481"/>
    </row>
    <row r="6" spans="1:29">
      <c r="A6" s="481">
        <f t="shared" si="2"/>
        <v>4</v>
      </c>
      <c r="B6" s="482" t="str">
        <f>VLOOKUP($C6,'Table of Contents'!$B$25:$E$72,4,FALSE)</f>
        <v>2.3.1</v>
      </c>
      <c r="C6" s="483" t="s">
        <v>524</v>
      </c>
      <c r="D6" s="484" t="str">
        <f>VLOOKUP($C6,'Table of Contents'!$B$25:$E$72,2,FALSE)</f>
        <v>Confirmed</v>
      </c>
      <c r="E6" s="484" t="str">
        <f>VLOOKUP($C6,'Table of Contents'!$B$25:$E$72,3,FALSE)</f>
        <v>Public Corp</v>
      </c>
      <c r="F6" s="458">
        <v>2009</v>
      </c>
      <c r="G6" s="471" t="str">
        <f>IF(G$1&gt;=$F6,HLOOKUP($C6,'1.7 Revenues by Licensor'!$B$6:$AO$29,G$2,FALSE)/1000000,"")</f>
        <v/>
      </c>
      <c r="H6" s="471" t="str">
        <f>IF(H$1&gt;=$F6,HLOOKUP($C6,'1.7 Revenues by Licensor'!$B$6:$AO$29,H$2,FALSE)/1000000,"")</f>
        <v/>
      </c>
      <c r="I6" s="471" t="str">
        <f>IF(I$1&gt;=$F6,HLOOKUP($C6,'1.7 Revenues by Licensor'!$B$6:$AO$29,I$2,FALSE)/1000000,"")</f>
        <v/>
      </c>
      <c r="J6" s="471" t="str">
        <f>IF(J$1&gt;=$F6,HLOOKUP($C6,'1.7 Revenues by Licensor'!$B$6:$AO$29,J$2,FALSE)/1000000,"")</f>
        <v/>
      </c>
      <c r="K6" s="471" t="str">
        <f>IF(K$1&gt;=$F6,HLOOKUP($C6,'1.7 Revenues by Licensor'!$B$6:$AO$29,K$2,FALSE)/1000000,"")</f>
        <v/>
      </c>
      <c r="L6" s="471" t="str">
        <f>IF(L$1&gt;=$F6,HLOOKUP($C6,'1.7 Revenues by Licensor'!$B$6:$AO$29,L$2,FALSE)/1000000,"")</f>
        <v/>
      </c>
      <c r="M6" s="471" t="str">
        <f>IF(M$1&gt;=$F6,HLOOKUP($C6,'1.7 Revenues by Licensor'!$B$6:$AO$29,M$2,FALSE)/1000000,"")</f>
        <v/>
      </c>
      <c r="N6" s="471" t="str">
        <f>IF(N$1&gt;=$F6,HLOOKUP($C6,'1.7 Revenues by Licensor'!$B$6:$AO$29,N$2,FALSE)/1000000,"")</f>
        <v/>
      </c>
      <c r="O6" s="471" t="str">
        <f>IF(O$1&gt;=$F6,HLOOKUP($C6,'1.7 Revenues by Licensor'!$B$6:$AO$29,O$2,FALSE)/1000000,"")</f>
        <v/>
      </c>
      <c r="P6" s="471">
        <f>IF(P$1&gt;=$F6,HLOOKUP($C6,'1.7 Revenues by Licensor'!$B$6:$AO$29,P$2,FALSE)/1000000,"")</f>
        <v>255.19713261648744</v>
      </c>
      <c r="Q6" s="471">
        <f>IF(Q$1&gt;=$F6,HLOOKUP($C6,'1.7 Revenues by Licensor'!$B$6:$AO$29,Q$2,FALSE)/1000000,"")</f>
        <v>182.26580519269916</v>
      </c>
      <c r="R6" s="471">
        <f>IF(R$1&gt;=$F6,HLOOKUP($C6,'1.7 Revenues by Licensor'!$B$6:$AO$29,R$2,FALSE)/1000000,"")</f>
        <v>176.24250969333804</v>
      </c>
      <c r="S6" s="471">
        <f>IF(S$1&gt;=$F6,HLOOKUP($C6,'1.7 Revenues by Licensor'!$B$6:$AO$29,S$2,FALSE)/1000000,"")</f>
        <v>147.66803171698368</v>
      </c>
      <c r="T6" s="471">
        <f>IF(T$1&gt;=$F6,HLOOKUP($C6,'1.7 Revenues by Licensor'!$B$6:$AO$29,T$2,FALSE)/1000000,"")</f>
        <v>106.07623988659486</v>
      </c>
      <c r="U6" s="471">
        <f>IF(U$1&gt;=$F6,HLOOKUP($C6,'1.7 Revenues by Licensor'!$B$6:$AO$29,U$2,FALSE)/1000000,"")</f>
        <v>66.606276975542173</v>
      </c>
      <c r="V6" s="471">
        <f>IF(V$1&gt;=$F6,HLOOKUP($C6,'1.7 Revenues by Licensor'!$B$6:$AO$29,V$2,FALSE)/1000000,"")</f>
        <v>60.807435880730559</v>
      </c>
      <c r="W6" s="471">
        <f>IF(W$1&gt;=$F6,HLOOKUP($C6,'1.7 Revenues by Licensor'!$B$6:$AO$29,W$2,FALSE)/1000000,"")</f>
        <v>0</v>
      </c>
    </row>
    <row r="7" spans="1:29">
      <c r="A7" s="481">
        <f t="shared" si="2"/>
        <v>5</v>
      </c>
      <c r="B7" s="482">
        <f>VLOOKUP($C7,'Table of Contents'!$B$25:$E$72,4,FALSE)</f>
        <v>2.4</v>
      </c>
      <c r="C7" s="483" t="s">
        <v>431</v>
      </c>
      <c r="D7" s="484" t="str">
        <f>VLOOKUP($C7,'Table of Contents'!$B$25:$E$72,2,FALSE)</f>
        <v>Confirmed</v>
      </c>
      <c r="E7" s="484" t="str">
        <f>VLOOKUP($C7,'Table of Contents'!$B$25:$E$72,3,FALSE)</f>
        <v>Public Corp</v>
      </c>
      <c r="F7" s="458">
        <v>2004</v>
      </c>
      <c r="G7" s="471" t="str">
        <f>IF(G$1&gt;=$F7,HLOOKUP($C7,'1.7 Revenues by Licensor'!$B$6:$AO$29,G$2,FALSE)/1000000,"")</f>
        <v/>
      </c>
      <c r="H7" s="471" t="str">
        <f>IF(H$1&gt;=$F7,HLOOKUP($C7,'1.7 Revenues by Licensor'!$B$6:$AO$29,H$2,FALSE)/1000000,"")</f>
        <v/>
      </c>
      <c r="I7" s="471" t="str">
        <f>IF(I$1&gt;=$F7,HLOOKUP($C7,'1.7 Revenues by Licensor'!$B$6:$AO$29,I$2,FALSE)/1000000,"")</f>
        <v/>
      </c>
      <c r="J7" s="471" t="str">
        <f>IF(J$1&gt;=$F7,HLOOKUP($C7,'1.7 Revenues by Licensor'!$B$6:$AO$29,J$2,FALSE)/1000000,"")</f>
        <v/>
      </c>
      <c r="K7" s="471">
        <f>IF(K$1&gt;=$F7,HLOOKUP($C7,'1.7 Revenues by Licensor'!$B$6:$AO$29,K$2,FALSE)/1000000,"")</f>
        <v>103.4</v>
      </c>
      <c r="L7" s="471">
        <f>IF(L$1&gt;=$F7,HLOOKUP($C7,'1.7 Revenues by Licensor'!$B$6:$AO$29,L$2,FALSE)/1000000,"")</f>
        <v>144.1</v>
      </c>
      <c r="M7" s="471">
        <f>IF(M$1&gt;=$F7,HLOOKUP($C7,'1.7 Revenues by Licensor'!$B$6:$AO$29,M$2,FALSE)/1000000,"")</f>
        <v>473.6</v>
      </c>
      <c r="N7" s="471">
        <f>IF(N$1&gt;=$F7,HLOOKUP($C7,'1.7 Revenues by Licensor'!$B$6:$AO$29,N$2,FALSE)/1000000,"")</f>
        <v>230.8</v>
      </c>
      <c r="O7" s="471">
        <f>IF(O$1&gt;=$F7,HLOOKUP($C7,'1.7 Revenues by Licensor'!$B$6:$AO$29,O$2,FALSE)/1000000,"")</f>
        <v>216.5</v>
      </c>
      <c r="P7" s="471">
        <f>IF(P$1&gt;=$F7,HLOOKUP($C7,'1.7 Revenues by Licensor'!$B$6:$AO$29,P$2,FALSE)/1000000,"")</f>
        <v>287.60000000000002</v>
      </c>
      <c r="Q7" s="471">
        <f>IF(Q$1&gt;=$F7,HLOOKUP($C7,'1.7 Revenues by Licensor'!$B$6:$AO$29,Q$2,FALSE)/1000000,"")</f>
        <v>370.23099999999999</v>
      </c>
      <c r="R7" s="471">
        <f>IF(R$1&gt;=$F7,HLOOKUP($C7,'1.7 Revenues by Licensor'!$B$6:$AO$29,R$2,FALSE)/1000000,"")</f>
        <v>295.37200000000001</v>
      </c>
      <c r="S7" s="471">
        <f>IF(S$1&gt;=$F7,HLOOKUP($C7,'1.7 Revenues by Licensor'!$B$6:$AO$29,S$2,FALSE)/1000000,"")</f>
        <v>660.54700000000003</v>
      </c>
      <c r="T7" s="471">
        <f>IF(T$1&gt;=$F7,HLOOKUP($C7,'1.7 Revenues by Licensor'!$B$6:$AO$29,T$2,FALSE)/1000000,"")</f>
        <v>264.17399999999998</v>
      </c>
      <c r="U7" s="471">
        <f>IF(U$1&gt;=$F7,HLOOKUP($C7,'1.7 Revenues by Licensor'!$B$6:$AO$29,U$2,FALSE)/1000000,"")</f>
        <v>405.38799999999998</v>
      </c>
      <c r="V7" s="471">
        <f>IF(V$1&gt;=$F7,HLOOKUP($C7,'1.7 Revenues by Licensor'!$B$6:$AO$29,V$2,FALSE)/1000000,"")</f>
        <v>432.488</v>
      </c>
      <c r="W7" s="471">
        <f>IF(W$1&gt;=$F7,HLOOKUP($C7,'1.7 Revenues by Licensor'!$B$6:$AO$29,W$2,FALSE)/1000000,"")</f>
        <v>655.36</v>
      </c>
      <c r="Z7" s="481"/>
      <c r="AA7" s="481"/>
      <c r="AB7" s="481"/>
      <c r="AC7" s="481"/>
    </row>
    <row r="8" spans="1:29">
      <c r="A8" s="481">
        <f t="shared" si="2"/>
        <v>6</v>
      </c>
      <c r="B8" s="482">
        <f>VLOOKUP($C8,'Table of Contents'!$B$25:$E$72,4,FALSE)</f>
        <v>2.5</v>
      </c>
      <c r="C8" s="483" t="s">
        <v>54</v>
      </c>
      <c r="D8" s="484" t="str">
        <f>VLOOKUP($C8,'Table of Contents'!$B$25:$E$72,2,FALSE)</f>
        <v>Documented</v>
      </c>
      <c r="E8" s="484" t="str">
        <f>VLOOKUP($C8,'Table of Contents'!$B$25:$E$72,3,FALSE)</f>
        <v>Public Corp</v>
      </c>
      <c r="F8" s="458">
        <v>2009</v>
      </c>
      <c r="G8" s="471" t="str">
        <f>IF(G$1&gt;=$F8,HLOOKUP($C8,'1.7 Revenues by Licensor'!$B$6:$AO$29,G$2,FALSE)/1000000,"")</f>
        <v/>
      </c>
      <c r="H8" s="471" t="str">
        <f>IF(H$1&gt;=$F8,HLOOKUP($C8,'1.7 Revenues by Licensor'!$B$6:$AO$29,H$2,FALSE)/1000000,"")</f>
        <v/>
      </c>
      <c r="I8" s="471" t="str">
        <f>IF(I$1&gt;=$F8,HLOOKUP($C8,'1.7 Revenues by Licensor'!$B$6:$AO$29,I$2,FALSE)/1000000,"")</f>
        <v/>
      </c>
      <c r="J8" s="471" t="str">
        <f>IF(J$1&gt;=$F8,HLOOKUP($C8,'1.7 Revenues by Licensor'!$B$6:$AO$29,J$2,FALSE)/1000000,"")</f>
        <v/>
      </c>
      <c r="K8" s="471" t="str">
        <f>IF(K$1&gt;=$F8,HLOOKUP($C8,'1.7 Revenues by Licensor'!$B$6:$AO$29,K$2,FALSE)/1000000,"")</f>
        <v/>
      </c>
      <c r="L8" s="471" t="str">
        <f>IF(L$1&gt;=$F8,HLOOKUP($C8,'1.7 Revenues by Licensor'!$B$6:$AO$29,L$2,FALSE)/1000000,"")</f>
        <v/>
      </c>
      <c r="M8" s="471" t="str">
        <f>IF(M$1&gt;=$F8,HLOOKUP($C8,'1.7 Revenues by Licensor'!$B$6:$AO$29,M$2,FALSE)/1000000,"")</f>
        <v/>
      </c>
      <c r="N8" s="471" t="str">
        <f>IF(N$1&gt;=$F8,HLOOKUP($C8,'1.7 Revenues by Licensor'!$B$6:$AO$29,N$2,FALSE)/1000000,"")</f>
        <v/>
      </c>
      <c r="O8" s="471" t="str">
        <f>IF(O$1&gt;=$F8,HLOOKUP($C8,'1.7 Revenues by Licensor'!$B$6:$AO$29,O$2,FALSE)/1000000,"")</f>
        <v/>
      </c>
      <c r="P8" s="460" t="s">
        <v>447</v>
      </c>
      <c r="Q8" s="471">
        <f>IF(Q$1&gt;=$F8,HLOOKUP($C8,'1.7 Revenues by Licensor'!$B$6:$AO$29,Q$2,FALSE)/1000000,"")</f>
        <v>0</v>
      </c>
      <c r="R8" s="471">
        <f>IF(R$1&gt;=$F8,HLOOKUP($C8,'1.7 Revenues by Licensor'!$B$6:$AO$29,R$2,FALSE)/1000000,"")</f>
        <v>225.5</v>
      </c>
      <c r="S8" s="471">
        <f>IF(S$1&gt;=$F8,HLOOKUP($C8,'1.7 Revenues by Licensor'!$B$6:$AO$29,S$2,FALSE)/1000000,"")</f>
        <v>512.5</v>
      </c>
      <c r="T8" s="471">
        <f>IF(T$1&gt;=$F8,HLOOKUP($C8,'1.7 Revenues by Licensor'!$B$6:$AO$29,T$2,FALSE)/1000000,"")</f>
        <v>1712.5</v>
      </c>
      <c r="U8" s="471">
        <f>IF(U$1&gt;=$F8,HLOOKUP($C8,'1.7 Revenues by Licensor'!$B$6:$AO$29,U$2,FALSE)/1000000,"")</f>
        <v>2534.5</v>
      </c>
      <c r="V8" s="471">
        <f>IF(V$1&gt;=$F8,HLOOKUP($C8,'1.7 Revenues by Licensor'!$B$6:$AO$29,V$2,FALSE)/1000000,"")</f>
        <v>1134.5</v>
      </c>
      <c r="W8" s="471">
        <f>IF(W$1&gt;=$F8,HLOOKUP($C8,'1.7 Revenues by Licensor'!$B$6:$AO$29,W$2,FALSE)/1000000,"")</f>
        <v>828.18499999999995</v>
      </c>
      <c r="Z8" s="481"/>
      <c r="AA8" s="481"/>
      <c r="AB8" s="481"/>
      <c r="AC8" s="481"/>
    </row>
    <row r="9" spans="1:29">
      <c r="A9" s="481">
        <f t="shared" si="2"/>
        <v>7</v>
      </c>
      <c r="B9" s="482">
        <f>VLOOKUP($C9,'Table of Contents'!$B$25:$E$72,4,FALSE)</f>
        <v>3.1</v>
      </c>
      <c r="C9" s="483" t="s">
        <v>267</v>
      </c>
      <c r="D9" s="484" t="str">
        <f>VLOOKUP($C9,'Table of Contents'!$B$25:$E$72,2,FALSE)</f>
        <v>Approximated</v>
      </c>
      <c r="E9" s="484" t="str">
        <f>VLOOKUP($C9,'Table of Contents'!$B$25:$E$72,3,FALSE)</f>
        <v>Public Corp</v>
      </c>
      <c r="F9" s="458">
        <v>2015</v>
      </c>
      <c r="G9" s="471" t="str">
        <f>IF(G$1&gt;=$F9,HLOOKUP($C9,'1.7 Revenues by Licensor'!$B$6:$AO$29,G$2,FALSE)/1000000,"")</f>
        <v/>
      </c>
      <c r="H9" s="471" t="str">
        <f>IF(H$1&gt;=$F9,HLOOKUP($C9,'1.7 Revenues by Licensor'!$B$6:$AO$29,H$2,FALSE)/1000000,"")</f>
        <v/>
      </c>
      <c r="I9" s="471" t="str">
        <f>IF(I$1&gt;=$F9,HLOOKUP($C9,'1.7 Revenues by Licensor'!$B$6:$AO$29,I$2,FALSE)/1000000,"")</f>
        <v/>
      </c>
      <c r="J9" s="471" t="str">
        <f>IF(J$1&gt;=$F9,HLOOKUP($C9,'1.7 Revenues by Licensor'!$B$6:$AO$29,J$2,FALSE)/1000000,"")</f>
        <v/>
      </c>
      <c r="K9" s="471" t="str">
        <f>IF(K$1&gt;=$F9,HLOOKUP($C9,'1.7 Revenues by Licensor'!$B$6:$AO$29,K$2,FALSE)/1000000,"")</f>
        <v/>
      </c>
      <c r="L9" s="471" t="str">
        <f>IF(L$1&gt;=$F9,HLOOKUP($C9,'1.7 Revenues by Licensor'!$B$6:$AO$29,L$2,FALSE)/1000000,"")</f>
        <v/>
      </c>
      <c r="M9" s="471" t="str">
        <f>IF(M$1&gt;=$F9,HLOOKUP($C9,'1.7 Revenues by Licensor'!$B$6:$AO$29,M$2,FALSE)/1000000,"")</f>
        <v/>
      </c>
      <c r="N9" s="471" t="str">
        <f>IF(N$1&gt;=$F9,HLOOKUP($C9,'1.7 Revenues by Licensor'!$B$6:$AO$29,N$2,FALSE)/1000000,"")</f>
        <v/>
      </c>
      <c r="O9" s="471" t="str">
        <f>IF(O$1&gt;=$F9,HLOOKUP($C9,'1.7 Revenues by Licensor'!$B$6:$AO$29,O$2,FALSE)/1000000,"")</f>
        <v/>
      </c>
      <c r="P9" s="471" t="str">
        <f>IF(P$1&gt;=$F9,HLOOKUP($C9,'1.7 Revenues by Licensor'!$B$6:$AO$29,P$2,FALSE)/1000000,"")</f>
        <v/>
      </c>
      <c r="Q9" s="471" t="str">
        <f>IF(Q$1&gt;=$F9,HLOOKUP($C9,'1.7 Revenues by Licensor'!$B$6:$AO$29,Q$2,FALSE)/1000000,"")</f>
        <v/>
      </c>
      <c r="R9" s="471" t="str">
        <f>IF(R$1&gt;=$F9,HLOOKUP($C9,'1.7 Revenues by Licensor'!$B$6:$AO$29,R$2,FALSE)/1000000,"")</f>
        <v/>
      </c>
      <c r="S9" s="471" t="str">
        <f>IF(S$1&gt;=$F9,HLOOKUP($C9,'1.7 Revenues by Licensor'!$B$6:$AO$29,S$2,FALSE)/1000000,"")</f>
        <v/>
      </c>
      <c r="T9" s="471" t="str">
        <f>IF(T$1&gt;=$F9,HLOOKUP($C9,'1.7 Revenues by Licensor'!$B$6:$AO$29,T$2,FALSE)/1000000,"")</f>
        <v/>
      </c>
      <c r="U9" s="471" t="str">
        <f>IF(U$1&gt;=$F9,HLOOKUP($C9,'1.7 Revenues by Licensor'!$B$6:$AO$29,U$2,FALSE)/1000000,"")</f>
        <v/>
      </c>
      <c r="V9" s="471">
        <f>IF(V$1&gt;=$F9,HLOOKUP($C9,'1.7 Revenues by Licensor'!$B$6:$AO$29,V$2,FALSE)/1000000,"")</f>
        <v>177.63372206658414</v>
      </c>
      <c r="W9" s="471">
        <f>IF(W$1&gt;=$F9,HLOOKUP($C9,'1.7 Revenues by Licensor'!$B$6:$AO$29,W$2,FALSE)/1000000,"")</f>
        <v>177.63372206658414</v>
      </c>
      <c r="Z9" s="481"/>
      <c r="AA9" s="481"/>
      <c r="AB9" s="481"/>
      <c r="AC9" s="481"/>
    </row>
    <row r="10" spans="1:29">
      <c r="A10" s="481">
        <f t="shared" si="2"/>
        <v>8</v>
      </c>
      <c r="B10" s="482">
        <f>VLOOKUP($C10,'Table of Contents'!$B$25:$E$72,4,FALSE)</f>
        <v>3.2</v>
      </c>
      <c r="C10" s="483" t="s">
        <v>506</v>
      </c>
      <c r="D10" s="484" t="str">
        <f>VLOOKUP($C10,'Table of Contents'!$B$25:$E$72,2,FALSE)</f>
        <v>Approximated</v>
      </c>
      <c r="E10" s="484" t="str">
        <f>VLOOKUP($C10,'Table of Contents'!$B$25:$E$72,3,FALSE)</f>
        <v>Public Corp</v>
      </c>
      <c r="F10" s="458">
        <v>2009</v>
      </c>
      <c r="G10" s="471" t="str">
        <f>IF(G$1&gt;=$F10,HLOOKUP($C10,'1.7 Revenues by Licensor'!$B$6:$AO$29,G$2,FALSE)/1000000,"")</f>
        <v/>
      </c>
      <c r="H10" s="471" t="str">
        <f>IF(H$1&gt;=$F10,HLOOKUP($C10,'1.7 Revenues by Licensor'!$B$6:$AO$29,H$2,FALSE)/1000000,"")</f>
        <v/>
      </c>
      <c r="I10" s="471" t="str">
        <f>IF(I$1&gt;=$F10,HLOOKUP($C10,'1.7 Revenues by Licensor'!$B$6:$AO$29,I$2,FALSE)/1000000,"")</f>
        <v/>
      </c>
      <c r="J10" s="471" t="str">
        <f>IF(J$1&gt;=$F10,HLOOKUP($C10,'1.7 Revenues by Licensor'!$B$6:$AO$29,J$2,FALSE)/1000000,"")</f>
        <v/>
      </c>
      <c r="K10" s="471" t="str">
        <f>IF(K$1&gt;=$F10,HLOOKUP($C10,'1.7 Revenues by Licensor'!$B$6:$AO$29,K$2,FALSE)/1000000,"")</f>
        <v/>
      </c>
      <c r="L10" s="471" t="str">
        <f>IF(L$1&gt;=$F10,HLOOKUP($C10,'1.7 Revenues by Licensor'!$B$6:$AO$29,L$2,FALSE)/1000000,"")</f>
        <v/>
      </c>
      <c r="M10" s="471" t="str">
        <f>IF(M$1&gt;=$F10,HLOOKUP($C10,'1.7 Revenues by Licensor'!$B$6:$AO$29,M$2,FALSE)/1000000,"")</f>
        <v/>
      </c>
      <c r="N10" s="471" t="str">
        <f>IF(N$1&gt;=$F10,HLOOKUP($C10,'1.7 Revenues by Licensor'!$B$6:$AO$29,N$2,FALSE)/1000000,"")</f>
        <v/>
      </c>
      <c r="O10" s="471" t="str">
        <f>IF(O$1&gt;=$F10,HLOOKUP($C10,'1.7 Revenues by Licensor'!$B$6:$AO$29,O$2,FALSE)/1000000,"")</f>
        <v/>
      </c>
      <c r="P10" s="471">
        <f>IF(P$1&gt;=$F10,HLOOKUP($C10,'1.7 Revenues by Licensor'!$B$6:$AO$29,P$2,FALSE)/1000000,"")</f>
        <v>0</v>
      </c>
      <c r="Q10" s="471">
        <f>IF(Q$1&gt;=$F10,HLOOKUP($C10,'1.7 Revenues by Licensor'!$B$6:$AO$29,Q$2,FALSE)/1000000,"")</f>
        <v>0</v>
      </c>
      <c r="R10" s="471">
        <f>IF(R$1&gt;=$F10,HLOOKUP($C10,'1.7 Revenues by Licensor'!$B$6:$AO$29,R$2,FALSE)/1000000,"")</f>
        <v>0</v>
      </c>
      <c r="S10" s="471">
        <f>IF(S$1&gt;=$F10,HLOOKUP($C10,'1.7 Revenues by Licensor'!$B$6:$AO$29,S$2,FALSE)/1000000,"")</f>
        <v>0</v>
      </c>
      <c r="T10" s="471">
        <f>IF(T$1&gt;=$F10,HLOOKUP($C10,'1.7 Revenues by Licensor'!$B$6:$AO$29,T$2,FALSE)/1000000,"")</f>
        <v>0</v>
      </c>
      <c r="U10" s="471">
        <f>IF(U$1&gt;=$F10,HLOOKUP($C10,'1.7 Revenues by Licensor'!$B$6:$AO$29,U$2,FALSE)/1000000,"")</f>
        <v>0</v>
      </c>
      <c r="V10" s="471">
        <f>IF(V$1&gt;=$F10,HLOOKUP($C10,'1.7 Revenues by Licensor'!$B$6:$AO$29,V$2,FALSE)/1000000,"")</f>
        <v>0</v>
      </c>
      <c r="W10" s="471">
        <f>IF(W$1&gt;=$F10,HLOOKUP($C10,'1.7 Revenues by Licensor'!$B$6:$AO$29,W$2,FALSE)/1000000,"")</f>
        <v>12.8</v>
      </c>
      <c r="Z10" s="481"/>
      <c r="AA10" s="481"/>
      <c r="AB10" s="481"/>
      <c r="AC10" s="481"/>
    </row>
    <row r="11" spans="1:29">
      <c r="A11" s="481">
        <f t="shared" si="2"/>
        <v>9</v>
      </c>
      <c r="B11" s="482">
        <f>VLOOKUP($C11,'Table of Contents'!$B$25:$E$72,4,FALSE)</f>
        <v>3.3</v>
      </c>
      <c r="C11" s="483" t="s">
        <v>507</v>
      </c>
      <c r="D11" s="484" t="str">
        <f>VLOOKUP($C11,'Table of Contents'!$B$25:$E$72,2,FALSE)</f>
        <v>Approximated</v>
      </c>
      <c r="E11" s="484" t="str">
        <f>VLOOKUP($C11,'Table of Contents'!$B$25:$E$72,3,FALSE)</f>
        <v>Public Corp</v>
      </c>
      <c r="F11" s="458">
        <v>2012</v>
      </c>
      <c r="G11" s="471" t="str">
        <f>IF(G$1&gt;=$F11,HLOOKUP($C11,'1.7 Revenues by Licensor'!$B$6:$AO$29,G$2,FALSE)/1000000,"")</f>
        <v/>
      </c>
      <c r="H11" s="471" t="str">
        <f>IF(H$1&gt;=$F11,HLOOKUP($C11,'1.7 Revenues by Licensor'!$B$6:$AO$29,H$2,FALSE)/1000000,"")</f>
        <v/>
      </c>
      <c r="I11" s="471" t="str">
        <f>IF(I$1&gt;=$F11,HLOOKUP($C11,'1.7 Revenues by Licensor'!$B$6:$AO$29,I$2,FALSE)/1000000,"")</f>
        <v/>
      </c>
      <c r="J11" s="471" t="str">
        <f>IF(J$1&gt;=$F11,HLOOKUP($C11,'1.7 Revenues by Licensor'!$B$6:$AO$29,J$2,FALSE)/1000000,"")</f>
        <v/>
      </c>
      <c r="K11" s="471" t="str">
        <f>IF(K$1&gt;=$F11,HLOOKUP($C11,'1.7 Revenues by Licensor'!$B$6:$AO$29,K$2,FALSE)/1000000,"")</f>
        <v/>
      </c>
      <c r="L11" s="471" t="str">
        <f>IF(L$1&gt;=$F11,HLOOKUP($C11,'1.7 Revenues by Licensor'!$B$6:$AO$29,L$2,FALSE)/1000000,"")</f>
        <v/>
      </c>
      <c r="M11" s="471" t="str">
        <f>IF(M$1&gt;=$F11,HLOOKUP($C11,'1.7 Revenues by Licensor'!$B$6:$AO$29,M$2,FALSE)/1000000,"")</f>
        <v/>
      </c>
      <c r="N11" s="471" t="str">
        <f>IF(N$1&gt;=$F11,HLOOKUP($C11,'1.7 Revenues by Licensor'!$B$6:$AO$29,N$2,FALSE)/1000000,"")</f>
        <v/>
      </c>
      <c r="O11" s="471" t="str">
        <f>IF(O$1&gt;=$F11,HLOOKUP($C11,'1.7 Revenues by Licensor'!$B$6:$AO$29,O$2,FALSE)/1000000,"")</f>
        <v/>
      </c>
      <c r="P11" s="471" t="str">
        <f>IF(P$1&gt;=$F11,HLOOKUP($C11,'1.7 Revenues by Licensor'!$B$6:$AO$29,P$2,FALSE)/1000000,"")</f>
        <v/>
      </c>
      <c r="Q11" s="471" t="str">
        <f>IF(Q$1&gt;=$F11,HLOOKUP($C11,'1.7 Revenues by Licensor'!$B$6:$AO$29,Q$2,FALSE)/1000000,"")</f>
        <v/>
      </c>
      <c r="R11" s="471" t="str">
        <f>IF(R$1&gt;=$F11,HLOOKUP($C11,'1.7 Revenues by Licensor'!$B$6:$AO$29,R$2,FALSE)/1000000,"")</f>
        <v/>
      </c>
      <c r="S11" s="471">
        <f>IF(S$1&gt;=$F11,HLOOKUP($C11,'1.7 Revenues by Licensor'!$B$6:$AO$29,S$2,FALSE)/1000000,"")</f>
        <v>17.25</v>
      </c>
      <c r="T11" s="471">
        <f>IF(T$1&gt;=$F11,HLOOKUP($C11,'1.7 Revenues by Licensor'!$B$6:$AO$29,T$2,FALSE)/1000000,"")</f>
        <v>17.25</v>
      </c>
      <c r="U11" s="471">
        <f>IF(U$1&gt;=$F11,HLOOKUP($C11,'1.7 Revenues by Licensor'!$B$6:$AO$29,U$2,FALSE)/1000000,"")</f>
        <v>17.25</v>
      </c>
      <c r="V11" s="471">
        <f>IF(V$1&gt;=$F11,HLOOKUP($C11,'1.7 Revenues by Licensor'!$B$6:$AO$29,V$2,FALSE)/1000000,"")</f>
        <v>17.25</v>
      </c>
      <c r="W11" s="471">
        <f>IF(W$1&gt;=$F11,HLOOKUP($C11,'1.7 Revenues by Licensor'!$B$6:$AO$29,W$2,FALSE)/1000000,"")</f>
        <v>23</v>
      </c>
      <c r="Z11" s="481"/>
      <c r="AA11" s="481"/>
      <c r="AB11" s="481"/>
      <c r="AC11" s="481"/>
    </row>
    <row r="12" spans="1:29">
      <c r="A12" s="481">
        <f t="shared" si="2"/>
        <v>10</v>
      </c>
      <c r="B12" s="482">
        <f>VLOOKUP($C12,'Table of Contents'!$B$25:$E$72,4,FALSE)</f>
        <v>3.4</v>
      </c>
      <c r="C12" s="483" t="s">
        <v>99</v>
      </c>
      <c r="D12" s="484" t="str">
        <f>VLOOKUP($C12,'Table of Contents'!$B$25:$E$72,2,FALSE)</f>
        <v>Researched</v>
      </c>
      <c r="E12" s="484" t="str">
        <f>VLOOKUP($C12,'Table of Contents'!$B$25:$E$72,3,FALSE)</f>
        <v>Public Corp</v>
      </c>
      <c r="F12" s="458">
        <v>2007</v>
      </c>
      <c r="G12" s="471" t="str">
        <f>IF(G$1&gt;=$F12,HLOOKUP($C12,'1.7 Revenues by Licensor'!$B$6:$AO$29,G$2,FALSE)/1000000,"")</f>
        <v/>
      </c>
      <c r="H12" s="471" t="str">
        <f>IF(H$1&gt;=$F12,HLOOKUP($C12,'1.7 Revenues by Licensor'!$B$6:$AO$29,H$2,FALSE)/1000000,"")</f>
        <v/>
      </c>
      <c r="I12" s="471" t="str">
        <f>IF(I$1&gt;=$F12,HLOOKUP($C12,'1.7 Revenues by Licensor'!$B$6:$AO$29,I$2,FALSE)/1000000,"")</f>
        <v/>
      </c>
      <c r="J12" s="471" t="str">
        <f>IF(J$1&gt;=$F12,HLOOKUP($C12,'1.7 Revenues by Licensor'!$B$6:$AO$29,J$2,FALSE)/1000000,"")</f>
        <v/>
      </c>
      <c r="K12" s="471" t="str">
        <f>IF(K$1&gt;=$F12,HLOOKUP($C12,'1.7 Revenues by Licensor'!$B$6:$AO$29,K$2,FALSE)/1000000,"")</f>
        <v/>
      </c>
      <c r="L12" s="471" t="str">
        <f>IF(L$1&gt;=$F12,HLOOKUP($C12,'1.7 Revenues by Licensor'!$B$6:$AO$29,L$2,FALSE)/1000000,"")</f>
        <v/>
      </c>
      <c r="M12" s="471" t="str">
        <f>IF(M$1&gt;=$F12,HLOOKUP($C12,'1.7 Revenues by Licensor'!$B$6:$AO$29,M$2,FALSE)/1000000,"")</f>
        <v/>
      </c>
      <c r="N12" s="471">
        <f>IF(N$1&gt;=$F12,HLOOKUP($C12,'1.7 Revenues by Licensor'!$B$6:$AO$29,N$2,FALSE)/1000000,"")</f>
        <v>37.082999999999998</v>
      </c>
      <c r="O12" s="471">
        <f>IF(O$1&gt;=$F12,HLOOKUP($C12,'1.7 Revenues by Licensor'!$B$6:$AO$29,O$2,FALSE)/1000000,"")</f>
        <v>174</v>
      </c>
      <c r="P12" s="471">
        <f>IF(P$1&gt;=$F12,HLOOKUP($C12,'1.7 Revenues by Licensor'!$B$6:$AO$29,P$2,FALSE)/1000000,"")</f>
        <v>219</v>
      </c>
      <c r="Q12" s="471">
        <f>IF(Q$1&gt;=$F12,HLOOKUP($C12,'1.7 Revenues by Licensor'!$B$6:$AO$29,Q$2,FALSE)/1000000,"")</f>
        <v>228.35300000000001</v>
      </c>
      <c r="R12" s="471">
        <f>IF(R$1&gt;=$F12,HLOOKUP($C12,'1.7 Revenues by Licensor'!$B$6:$AO$29,R$2,FALSE)/1000000,"")</f>
        <v>229</v>
      </c>
      <c r="S12" s="471">
        <f>IF(S$1&gt;=$F12,HLOOKUP($C12,'1.7 Revenues by Licensor'!$B$6:$AO$29,S$2,FALSE)/1000000,"")</f>
        <v>244</v>
      </c>
      <c r="T12" s="471">
        <f>IF(T$1&gt;=$F12,HLOOKUP($C12,'1.7 Revenues by Licensor'!$B$6:$AO$29,T$2,FALSE)/1000000,"")</f>
        <v>144</v>
      </c>
      <c r="U12" s="471">
        <f>IF(U$1&gt;=$F12,HLOOKUP($C12,'1.7 Revenues by Licensor'!$B$6:$AO$29,U$2,FALSE)/1000000,"")</f>
        <v>137</v>
      </c>
      <c r="V12" s="471">
        <f>IF(V$1&gt;=$F12,HLOOKUP($C12,'1.7 Revenues by Licensor'!$B$6:$AO$29,V$2,FALSE)/1000000,"")</f>
        <v>245</v>
      </c>
      <c r="W12" s="471">
        <f>IF(W$1&gt;=$F12,HLOOKUP($C12,'1.7 Revenues by Licensor'!$B$6:$AO$29,W$2,FALSE)/1000000,"")</f>
        <v>382</v>
      </c>
      <c r="Z12" s="481"/>
      <c r="AA12" s="481"/>
      <c r="AB12" s="481"/>
      <c r="AC12" s="481"/>
    </row>
    <row r="13" spans="1:29">
      <c r="A13" s="481">
        <f t="shared" si="2"/>
        <v>11</v>
      </c>
      <c r="B13" s="482">
        <f>VLOOKUP($C13,'Table of Contents'!$B$25:$E$72,4,FALSE)</f>
        <v>3.5</v>
      </c>
      <c r="C13" s="483" t="s">
        <v>888</v>
      </c>
      <c r="D13" s="484" t="str">
        <f>VLOOKUP($C13,'Table of Contents'!$B$25:$E$72,2,FALSE)</f>
        <v>Approximated</v>
      </c>
      <c r="E13" s="484" t="str">
        <f>VLOOKUP($C13,'Table of Contents'!$B$25:$E$72,3,FALSE)</f>
        <v>Public Corp</v>
      </c>
      <c r="F13" s="458">
        <v>2007</v>
      </c>
      <c r="G13" s="471" t="str">
        <f>IF(G$1&gt;=$F13,HLOOKUP($C13,'1.7 Revenues by Licensor'!$B$6:$AO$29,G$2,FALSE)/1000000,"")</f>
        <v/>
      </c>
      <c r="H13" s="471" t="str">
        <f>IF(H$1&gt;=$F13,HLOOKUP($C13,'1.7 Revenues by Licensor'!$B$6:$AO$29,H$2,FALSE)/1000000,"")</f>
        <v/>
      </c>
      <c r="I13" s="471" t="str">
        <f>IF(I$1&gt;=$F13,HLOOKUP($C13,'1.7 Revenues by Licensor'!$B$6:$AO$29,I$2,FALSE)/1000000,"")</f>
        <v/>
      </c>
      <c r="J13" s="471" t="str">
        <f>IF(J$1&gt;=$F13,HLOOKUP($C13,'1.7 Revenues by Licensor'!$B$6:$AO$29,J$2,FALSE)/1000000,"")</f>
        <v/>
      </c>
      <c r="K13" s="471" t="str">
        <f>IF(K$1&gt;=$F13,HLOOKUP($C13,'1.7 Revenues by Licensor'!$B$6:$AO$29,K$2,FALSE)/1000000,"")</f>
        <v/>
      </c>
      <c r="L13" s="471" t="str">
        <f>IF(L$1&gt;=$F13,HLOOKUP($C13,'1.7 Revenues by Licensor'!$B$6:$AO$29,L$2,FALSE)/1000000,"")</f>
        <v/>
      </c>
      <c r="M13" s="471" t="str">
        <f>IF(M$1&gt;=$F13,HLOOKUP($C13,'1.7 Revenues by Licensor'!$B$6:$AO$29,M$2,FALSE)/1000000,"")</f>
        <v/>
      </c>
      <c r="N13" s="471">
        <f>IF(N$1&gt;=$F13,HLOOKUP($C13,'1.7 Revenues by Licensor'!$B$6:$AO$29,N$2,FALSE)/1000000,"")</f>
        <v>48.049491803278691</v>
      </c>
      <c r="O13" s="471">
        <f>IF(O$1&gt;=$F13,HLOOKUP($C13,'1.7 Revenues by Licensor'!$B$6:$AO$29,O$2,FALSE)/1000000,"")</f>
        <v>62.624708196721315</v>
      </c>
      <c r="P13" s="471">
        <f>IF(P$1&gt;=$F13,HLOOKUP($C13,'1.7 Revenues by Licensor'!$B$6:$AO$29,P$2,FALSE)/1000000,"")</f>
        <v>80.46040983606558</v>
      </c>
      <c r="Q13" s="471">
        <f>IF(Q$1&gt;=$F13,HLOOKUP($C13,'1.7 Revenues by Licensor'!$B$6:$AO$29,Q$2,FALSE)/1000000,"")</f>
        <v>78.776163934426236</v>
      </c>
      <c r="R13" s="471">
        <f>IF(R$1&gt;=$F13,HLOOKUP($C13,'1.7 Revenues by Licensor'!$B$6:$AO$29,R$2,FALSE)/1000000,"")</f>
        <v>63.673744262295081</v>
      </c>
      <c r="S13" s="471">
        <f>IF(S$1&gt;=$F13,HLOOKUP($C13,'1.7 Revenues by Licensor'!$B$6:$AO$29,S$2,FALSE)/1000000,"")</f>
        <v>57.53169180327869</v>
      </c>
      <c r="T13" s="471">
        <f>IF(T$1&gt;=$F13,HLOOKUP($C13,'1.7 Revenues by Licensor'!$B$6:$AO$29,T$2,FALSE)/1000000,"")</f>
        <v>44.745744262295084</v>
      </c>
      <c r="U13" s="471">
        <f>IF(U$1&gt;=$F13,HLOOKUP($C13,'1.7 Revenues by Licensor'!$B$6:$AO$29,U$2,FALSE)/1000000,"")</f>
        <v>76.090083582089562</v>
      </c>
      <c r="V13" s="471">
        <f>IF(V$1&gt;=$F13,HLOOKUP($C13,'1.7 Revenues by Licensor'!$B$6:$AO$29,V$2,FALSE)/1000000,"")</f>
        <v>76.338253521126759</v>
      </c>
      <c r="W13" s="471">
        <f>IF(W$1&gt;=$F13,HLOOKUP($C13,'1.7 Revenues by Licensor'!$B$6:$AO$29,W$2,FALSE)/1000000,"")</f>
        <v>72.093270390280637</v>
      </c>
      <c r="Z13" s="481"/>
      <c r="AA13" s="481"/>
      <c r="AB13" s="481"/>
      <c r="AC13" s="481"/>
    </row>
    <row r="14" spans="1:29">
      <c r="A14" s="481">
        <f t="shared" si="2"/>
        <v>12</v>
      </c>
      <c r="B14" s="482">
        <f>VLOOKUP($C14,'Table of Contents'!$B$25:$E$72,4,FALSE)</f>
        <v>3.6</v>
      </c>
      <c r="C14" s="483" t="s">
        <v>437</v>
      </c>
      <c r="D14" s="484" t="str">
        <f>VLOOKUP($C14,'Table of Contents'!$B$25:$E$72,2,FALSE)</f>
        <v>Approximated</v>
      </c>
      <c r="E14" s="484" t="str">
        <f>VLOOKUP($C14,'Table of Contents'!$B$25:$E$72,3,FALSE)</f>
        <v>Public Corp</v>
      </c>
      <c r="F14" s="458">
        <v>2007</v>
      </c>
      <c r="G14" s="471" t="str">
        <f>IF(G$1&gt;=$F14,HLOOKUP($C14,'1.7 Revenues by Licensor'!$B$6:$AO$29,G$2,FALSE)/1000000,"")</f>
        <v/>
      </c>
      <c r="H14" s="471" t="str">
        <f>IF(H$1&gt;=$F14,HLOOKUP($C14,'1.7 Revenues by Licensor'!$B$6:$AO$29,H$2,FALSE)/1000000,"")</f>
        <v/>
      </c>
      <c r="I14" s="471" t="str">
        <f>IF(I$1&gt;=$F14,HLOOKUP($C14,'1.7 Revenues by Licensor'!$B$6:$AO$29,I$2,FALSE)/1000000,"")</f>
        <v/>
      </c>
      <c r="J14" s="471" t="str">
        <f>IF(J$1&gt;=$F14,HLOOKUP($C14,'1.7 Revenues by Licensor'!$B$6:$AO$29,J$2,FALSE)/1000000,"")</f>
        <v/>
      </c>
      <c r="K14" s="471" t="str">
        <f>IF(K$1&gt;=$F14,HLOOKUP($C14,'1.7 Revenues by Licensor'!$B$6:$AO$29,K$2,FALSE)/1000000,"")</f>
        <v/>
      </c>
      <c r="L14" s="471" t="str">
        <f>IF(L$1&gt;=$F14,HLOOKUP($C14,'1.7 Revenues by Licensor'!$B$6:$AO$29,L$2,FALSE)/1000000,"")</f>
        <v/>
      </c>
      <c r="M14" s="471" t="str">
        <f>IF(M$1&gt;=$F14,HLOOKUP($C14,'1.7 Revenues by Licensor'!$B$6:$AO$29,M$2,FALSE)/1000000,"")</f>
        <v/>
      </c>
      <c r="N14" s="471">
        <f>IF(N$1&gt;=$F14,HLOOKUP($C14,'1.7 Revenues by Licensor'!$B$6:$AO$29,N$2,FALSE)/1000000,"")</f>
        <v>50.918999999999997</v>
      </c>
      <c r="O14" s="471">
        <f>IF(O$1&gt;=$F14,HLOOKUP($C14,'1.7 Revenues by Licensor'!$B$6:$AO$29,O$2,FALSE)/1000000,"")</f>
        <v>41.877000000000002</v>
      </c>
      <c r="P14" s="471">
        <f>IF(P$1&gt;=$F14,HLOOKUP($C14,'1.7 Revenues by Licensor'!$B$6:$AO$29,P$2,FALSE)/1000000,"")</f>
        <v>35.64</v>
      </c>
      <c r="Q14" s="471">
        <f>IF(Q$1&gt;=$F14,HLOOKUP($C14,'1.7 Revenues by Licensor'!$B$6:$AO$29,Q$2,FALSE)/1000000,"")</f>
        <v>105.65115</v>
      </c>
      <c r="R14" s="471">
        <f>IF(R$1&gt;=$F14,HLOOKUP($C14,'1.7 Revenues by Licensor'!$B$6:$AO$29,R$2,FALSE)/1000000,"")</f>
        <v>98.956598400000004</v>
      </c>
      <c r="S14" s="471">
        <f>IF(S$1&gt;=$F14,HLOOKUP($C14,'1.7 Revenues by Licensor'!$B$6:$AO$29,S$2,FALSE)/1000000,"")</f>
        <v>76.473238612499983</v>
      </c>
      <c r="T14" s="471">
        <f>IF(T$1&gt;=$F14,HLOOKUP($C14,'1.7 Revenues by Licensor'!$B$6:$AO$29,T$2,FALSE)/1000000,"")</f>
        <v>90.090662750028841</v>
      </c>
      <c r="U14" s="471">
        <f>IF(U$1&gt;=$F14,HLOOKUP($C14,'1.7 Revenues by Licensor'!$B$6:$AO$29,U$2,FALSE)/1000000,"")</f>
        <v>78.610834755439058</v>
      </c>
      <c r="V14" s="471">
        <f>IF(V$1&gt;=$F14,HLOOKUP($C14,'1.7 Revenues by Licensor'!$B$6:$AO$29,V$2,FALSE)/1000000,"")</f>
        <v>96.027332528920496</v>
      </c>
      <c r="W14" s="471">
        <f>IF(W$1&gt;=$F14,HLOOKUP($C14,'1.7 Revenues by Licensor'!$B$6:$AO$29,W$2,FALSE)/1000000,"")</f>
        <v>113.07363938176182</v>
      </c>
      <c r="Z14" s="481"/>
      <c r="AA14" s="481"/>
      <c r="AB14" s="481"/>
      <c r="AC14" s="481"/>
    </row>
    <row r="15" spans="1:29">
      <c r="A15" s="481">
        <f t="shared" si="2"/>
        <v>13</v>
      </c>
      <c r="B15" s="482">
        <f>VLOOKUP($C15,'Table of Contents'!$B$25:$E$72,4,FALSE)</f>
        <v>3.7</v>
      </c>
      <c r="C15" s="483" t="s">
        <v>504</v>
      </c>
      <c r="D15" s="484" t="str">
        <f>VLOOKUP($C15,'Table of Contents'!$B$25:$E$72,2,FALSE)</f>
        <v>Approximated</v>
      </c>
      <c r="E15" s="484" t="str">
        <f>VLOOKUP($C15,'Table of Contents'!$B$25:$E$72,3,FALSE)</f>
        <v>Public Corp</v>
      </c>
      <c r="F15" s="458">
        <v>2007</v>
      </c>
      <c r="G15" s="471" t="str">
        <f>IF(G$1&gt;=$F15,HLOOKUP($C15,'1.7 Revenues by Licensor'!$B$6:$AO$29,G$2,FALSE)/1000000,"")</f>
        <v/>
      </c>
      <c r="H15" s="471" t="str">
        <f>IF(H$1&gt;=$F15,HLOOKUP($C15,'1.7 Revenues by Licensor'!$B$6:$AO$29,H$2,FALSE)/1000000,"")</f>
        <v/>
      </c>
      <c r="I15" s="471" t="str">
        <f>IF(I$1&gt;=$F15,HLOOKUP($C15,'1.7 Revenues by Licensor'!$B$6:$AO$29,I$2,FALSE)/1000000,"")</f>
        <v/>
      </c>
      <c r="J15" s="471" t="str">
        <f>IF(J$1&gt;=$F15,HLOOKUP($C15,'1.7 Revenues by Licensor'!$B$6:$AO$29,J$2,FALSE)/1000000,"")</f>
        <v/>
      </c>
      <c r="K15" s="471" t="str">
        <f>IF(K$1&gt;=$F15,HLOOKUP($C15,'1.7 Revenues by Licensor'!$B$6:$AO$29,K$2,FALSE)/1000000,"")</f>
        <v/>
      </c>
      <c r="L15" s="471" t="str">
        <f>IF(L$1&gt;=$F15,HLOOKUP($C15,'1.7 Revenues by Licensor'!$B$6:$AO$29,L$2,FALSE)/1000000,"")</f>
        <v/>
      </c>
      <c r="M15" s="471" t="str">
        <f>IF(M$1&gt;=$F15,HLOOKUP($C15,'1.7 Revenues by Licensor'!$B$6:$AO$29,M$2,FALSE)/1000000,"")</f>
        <v/>
      </c>
      <c r="N15" s="471">
        <f>IF(N$1&gt;=$F15,HLOOKUP($C15,'1.7 Revenues by Licensor'!$B$6:$AO$29,N$2,FALSE)/1000000,"")</f>
        <v>52.597000000000001</v>
      </c>
      <c r="O15" s="471">
        <f>IF(O$1&gt;=$F15,HLOOKUP($C15,'1.7 Revenues by Licensor'!$B$6:$AO$29,O$2,FALSE)/1000000,"")</f>
        <v>48.226999999999997</v>
      </c>
      <c r="P15" s="471">
        <f>IF(P$1&gt;=$F15,HLOOKUP($C15,'1.7 Revenues by Licensor'!$B$6:$AO$29,P$2,FALSE)/1000000,"")</f>
        <v>67.34</v>
      </c>
      <c r="Q15" s="471">
        <f>IF(Q$1&gt;=$F15,HLOOKUP($C15,'1.7 Revenues by Licensor'!$B$6:$AO$29,Q$2,FALSE)/1000000,"")</f>
        <v>131.82900000000001</v>
      </c>
      <c r="R15" s="471">
        <f>IF(R$1&gt;=$F15,HLOOKUP($C15,'1.7 Revenues by Licensor'!$B$6:$AO$29,R$2,FALSE)/1000000,"")</f>
        <v>176.107</v>
      </c>
      <c r="S15" s="471">
        <f>IF(S$1&gt;=$F15,HLOOKUP($C15,'1.7 Revenues by Licensor'!$B$6:$AO$29,S$2,FALSE)/1000000,"")</f>
        <v>209.52699999999999</v>
      </c>
      <c r="T15" s="471">
        <f>IF(T$1&gt;=$F15,HLOOKUP($C15,'1.7 Revenues by Licensor'!$B$6:$AO$29,T$2,FALSE)/1000000,"")</f>
        <v>120.65600000000001</v>
      </c>
      <c r="U15" s="471">
        <f>IF(U$1&gt;=$F15,HLOOKUP($C15,'1.7 Revenues by Licensor'!$B$6:$AO$29,U$2,FALSE)/1000000,"")</f>
        <v>130.876</v>
      </c>
      <c r="V15" s="471">
        <f>IF(V$1&gt;=$F15,HLOOKUP($C15,'1.7 Revenues by Licensor'!$B$6:$AO$29,V$2,FALSE)/1000000,"")</f>
        <v>125.03700000000001</v>
      </c>
      <c r="W15" s="471">
        <f>IF(W$1&gt;=$F15,HLOOKUP($C15,'1.7 Revenues by Licensor'!$B$6:$AO$29,W$2,FALSE)/1000000,"")</f>
        <v>152.69900000000001</v>
      </c>
      <c r="Z15" s="481"/>
      <c r="AA15" s="481"/>
      <c r="AB15" s="481"/>
      <c r="AC15" s="481"/>
    </row>
    <row r="16" spans="1:29">
      <c r="A16" s="481">
        <f t="shared" si="2"/>
        <v>14</v>
      </c>
      <c r="B16" s="482">
        <f>VLOOKUP($C16,'Table of Contents'!$B$25:$E$72,4,FALSE)</f>
        <v>3.8</v>
      </c>
      <c r="C16" s="483" t="s">
        <v>1401</v>
      </c>
      <c r="D16" s="484" t="str">
        <f>VLOOKUP($C16,'Table of Contents'!$B$25:$E$72,2,FALSE)</f>
        <v>Approximated</v>
      </c>
      <c r="E16" s="484" t="str">
        <f>VLOOKUP($C16,'Table of Contents'!$B$25:$E$72,3,FALSE)</f>
        <v>Public Corp</v>
      </c>
      <c r="F16" s="458">
        <v>2007</v>
      </c>
      <c r="G16" s="471" t="str">
        <f>IF(G$1&gt;=$F16,HLOOKUP($C16,'1.7 Revenues by Licensor'!$B$6:$AO$29,G$2,FALSE)/1000000,"")</f>
        <v/>
      </c>
      <c r="H16" s="471" t="str">
        <f>IF(H$1&gt;=$F16,HLOOKUP($C16,'1.7 Revenues by Licensor'!$B$6:$AO$29,H$2,FALSE)/1000000,"")</f>
        <v/>
      </c>
      <c r="I16" s="471" t="str">
        <f>IF(I$1&gt;=$F16,HLOOKUP($C16,'1.7 Revenues by Licensor'!$B$6:$AO$29,I$2,FALSE)/1000000,"")</f>
        <v/>
      </c>
      <c r="J16" s="471" t="str">
        <f>IF(J$1&gt;=$F16,HLOOKUP($C16,'1.7 Revenues by Licensor'!$B$6:$AO$29,J$2,FALSE)/1000000,"")</f>
        <v/>
      </c>
      <c r="K16" s="471" t="str">
        <f>IF(K$1&gt;=$F16,HLOOKUP($C16,'1.7 Revenues by Licensor'!$B$6:$AO$29,K$2,FALSE)/1000000,"")</f>
        <v/>
      </c>
      <c r="L16" s="471" t="str">
        <f>IF(L$1&gt;=$F16,HLOOKUP($C16,'1.7 Revenues by Licensor'!$B$6:$AO$29,L$2,FALSE)/1000000,"")</f>
        <v/>
      </c>
      <c r="M16" s="471" t="str">
        <f>IF(M$1&gt;=$F16,HLOOKUP($C16,'1.7 Revenues by Licensor'!$B$6:$AO$29,M$2,FALSE)/1000000,"")</f>
        <v/>
      </c>
      <c r="N16" s="471">
        <f>IF(N$1&gt;=$F16,HLOOKUP($C16,'1.7 Revenues by Licensor'!$B$6:$AO$29,N$2,FALSE)/1000000,"")</f>
        <v>102.855</v>
      </c>
      <c r="O16" s="471">
        <f>IF(O$1&gt;=$F16,HLOOKUP($C16,'1.7 Revenues by Licensor'!$B$6:$AO$29,O$2,FALSE)/1000000,"")</f>
        <v>98.311000000000007</v>
      </c>
      <c r="P16" s="471">
        <f>IF(P$1&gt;=$F16,HLOOKUP($C16,'1.7 Revenues by Licensor'!$B$6:$AO$29,P$2,FALSE)/1000000,"")</f>
        <v>88.209000000000003</v>
      </c>
      <c r="Q16" s="471">
        <f>IF(Q$1&gt;=$F16,HLOOKUP($C16,'1.7 Revenues by Licensor'!$B$6:$AO$29,Q$2,FALSE)/1000000,"")</f>
        <v>87.96</v>
      </c>
      <c r="R16" s="471">
        <f>IF(R$1&gt;=$F16,HLOOKUP($C16,'1.7 Revenues by Licensor'!$B$6:$AO$29,R$2,FALSE)/1000000,"")</f>
        <v>104.813</v>
      </c>
      <c r="S16" s="471">
        <f>IF(S$1&gt;=$F16,HLOOKUP($C16,'1.7 Revenues by Licensor'!$B$6:$AO$29,S$2,FALSE)/1000000,"")</f>
        <v>45.557000000000002</v>
      </c>
      <c r="T16" s="471">
        <f>IF(T$1&gt;=$F16,HLOOKUP($C16,'1.7 Revenues by Licensor'!$B$6:$AO$29,T$2,FALSE)/1000000,"")</f>
        <v>35.424999999999997</v>
      </c>
      <c r="U16" s="471">
        <f>IF(U$1&gt;=$F16,HLOOKUP($C16,'1.7 Revenues by Licensor'!$B$6:$AO$29,U$2,FALSE)/1000000,"")</f>
        <v>26.564</v>
      </c>
      <c r="V16" s="471">
        <f>IF(V$1&gt;=$F16,HLOOKUP($C16,'1.7 Revenues by Licensor'!$B$6:$AO$29,V$2,FALSE)/1000000,"")</f>
        <v>61.27</v>
      </c>
      <c r="W16" s="471">
        <f>IF(W$1&gt;=$F16,HLOOKUP($C16,'1.7 Revenues by Licensor'!$B$6:$AO$29,W$2,FALSE)/1000000,"")</f>
        <v>26.564</v>
      </c>
      <c r="Z16" s="481"/>
      <c r="AA16" s="481"/>
      <c r="AB16" s="481"/>
      <c r="AC16" s="481"/>
    </row>
    <row r="17" spans="1:29">
      <c r="A17" s="481">
        <f t="shared" si="2"/>
        <v>15</v>
      </c>
      <c r="B17" s="482">
        <f>VLOOKUP($C17,'Table of Contents'!$B$25:$E$72,4,FALSE)</f>
        <v>3.9</v>
      </c>
      <c r="C17" s="483" t="s">
        <v>512</v>
      </c>
      <c r="D17" s="484" t="str">
        <f>VLOOKUP($C17,'Table of Contents'!$B$25:$E$72,2,FALSE)</f>
        <v>Confirmed</v>
      </c>
      <c r="E17" s="484" t="str">
        <f>VLOOKUP($C17,'Table of Contents'!$B$25:$E$72,3,FALSE)</f>
        <v>Public Corp</v>
      </c>
      <c r="F17" s="458">
        <v>2005</v>
      </c>
      <c r="G17" s="471" t="str">
        <f>IF(G$1&gt;=$F17,HLOOKUP($C17,'1.7 Revenues by Licensor'!$B$6:$AO$29,G$2,FALSE)/1000000,"")</f>
        <v/>
      </c>
      <c r="H17" s="471" t="str">
        <f>IF(H$1&gt;=$F17,HLOOKUP($C17,'1.7 Revenues by Licensor'!$B$6:$AO$29,H$2,FALSE)/1000000,"")</f>
        <v/>
      </c>
      <c r="I17" s="471" t="str">
        <f>IF(I$1&gt;=$F17,HLOOKUP($C17,'1.7 Revenues by Licensor'!$B$6:$AO$29,I$2,FALSE)/1000000,"")</f>
        <v/>
      </c>
      <c r="J17" s="471" t="str">
        <f>IF(J$1&gt;=$F17,HLOOKUP($C17,'1.7 Revenues by Licensor'!$B$6:$AO$29,J$2,FALSE)/1000000,"")</f>
        <v/>
      </c>
      <c r="K17" s="471" t="str">
        <f>IF(K$1&gt;=$F17,HLOOKUP($C17,'1.7 Revenues by Licensor'!$B$6:$AO$29,K$2,FALSE)/1000000,"")</f>
        <v/>
      </c>
      <c r="L17" s="460">
        <f>IF(L$1&gt;=$F17,HLOOKUP($C17,'1.7 Revenues by Licensor'!$B$6:$AO$29,L$2,FALSE)/1000000,"")</f>
        <v>0</v>
      </c>
      <c r="M17" s="460">
        <f>IF(M$1&gt;=$F17,HLOOKUP($C17,'1.7 Revenues by Licensor'!$B$6:$AO$29,M$2,FALSE)/1000000,"")</f>
        <v>0</v>
      </c>
      <c r="N17" s="460">
        <f>IF(N$1&gt;=$F17,HLOOKUP($C17,'1.7 Revenues by Licensor'!$B$6:$AO$29,N$2,FALSE)/1000000,"")</f>
        <v>0</v>
      </c>
      <c r="O17" s="460">
        <f>IF(O$1&gt;=$F17,HLOOKUP($C17,'1.7 Revenues by Licensor'!$B$6:$AO$29,O$2,FALSE)/1000000,"")</f>
        <v>0</v>
      </c>
      <c r="P17" s="460">
        <f>IF(P$1&gt;=$F17,HLOOKUP($C17,'1.7 Revenues by Licensor'!$B$6:$AO$29,P$2,FALSE)/1000000,"")</f>
        <v>0</v>
      </c>
      <c r="Q17" s="460">
        <f>IF(Q$1&gt;=$F17,HLOOKUP($C17,'1.7 Revenues by Licensor'!$B$6:$AO$29,Q$2,FALSE)/1000000,"")</f>
        <v>0</v>
      </c>
      <c r="R17" s="460">
        <f>IF(R$1&gt;=$F17,HLOOKUP($C17,'1.7 Revenues by Licensor'!$B$6:$AO$29,R$2,FALSE)/1000000,"")</f>
        <v>0</v>
      </c>
      <c r="S17" s="460">
        <f>IF(S$1&gt;=$F17,HLOOKUP($C17,'1.7 Revenues by Licensor'!$B$6:$AO$29,S$2,FALSE)/1000000,"")</f>
        <v>0</v>
      </c>
      <c r="T17" s="460">
        <f>IF(T$1&gt;=$F17,HLOOKUP($C17,'1.7 Revenues by Licensor'!$B$6:$AO$29,T$2,FALSE)/1000000,"")</f>
        <v>0</v>
      </c>
      <c r="U17" s="460">
        <f>IF(U$1&gt;=$F17,HLOOKUP($C17,'1.7 Revenues by Licensor'!$B$6:$AO$29,U$2,FALSE)/1000000,"")</f>
        <v>0</v>
      </c>
      <c r="V17" s="460">
        <f>IF(V$1&gt;=$F17,HLOOKUP($C17,'1.7 Revenues by Licensor'!$B$6:$AO$29,V$2,FALSE)/1000000,"")</f>
        <v>0</v>
      </c>
      <c r="W17" s="471">
        <f>IF(W$1&gt;=$F17,HLOOKUP($C17,'1.7 Revenues by Licensor'!$B$6:$AO$29,W$2,FALSE)/1000000,"")</f>
        <v>4.0641870000000004</v>
      </c>
      <c r="Z17" s="481"/>
      <c r="AA17" s="481"/>
      <c r="AB17" s="481"/>
      <c r="AC17" s="481"/>
    </row>
    <row r="18" spans="1:29">
      <c r="A18" s="481">
        <f t="shared" si="2"/>
        <v>16</v>
      </c>
      <c r="B18" s="482" t="str">
        <f>VLOOKUP($C18,'Table of Contents'!$B$25:$E$72,4,FALSE)</f>
        <v>3.10</v>
      </c>
      <c r="C18" s="483" t="s">
        <v>313</v>
      </c>
      <c r="D18" s="484" t="str">
        <f>VLOOKUP($C18,'Table of Contents'!$B$25:$E$72,2,FALSE)</f>
        <v>Confirmed</v>
      </c>
      <c r="E18" s="484" t="str">
        <f>VLOOKUP($C18,'Table of Contents'!$B$25:$E$72,3,FALSE)</f>
        <v>Public Corp</v>
      </c>
      <c r="F18" s="458">
        <v>2009</v>
      </c>
      <c r="G18" s="471" t="str">
        <f>IF(G$1&gt;=$F18,HLOOKUP($C18,'1.7 Revenues by Licensor'!$B$6:$AO$29,G$2,FALSE)/1000000,"")</f>
        <v/>
      </c>
      <c r="H18" s="471" t="str">
        <f>IF(H$1&gt;=$F18,HLOOKUP($C18,'1.7 Revenues by Licensor'!$B$6:$AO$29,H$2,FALSE)/1000000,"")</f>
        <v/>
      </c>
      <c r="I18" s="471" t="str">
        <f>IF(I$1&gt;=$F18,HLOOKUP($C18,'1.7 Revenues by Licensor'!$B$6:$AO$29,I$2,FALSE)/1000000,"")</f>
        <v/>
      </c>
      <c r="J18" s="471" t="str">
        <f>IF(J$1&gt;=$F18,HLOOKUP($C18,'1.7 Revenues by Licensor'!$B$6:$AO$29,J$2,FALSE)/1000000,"")</f>
        <v/>
      </c>
      <c r="K18" s="471" t="str">
        <f>IF(K$1&gt;=$F18,HLOOKUP($C18,'1.7 Revenues by Licensor'!$B$6:$AO$29,K$2,FALSE)/1000000,"")</f>
        <v/>
      </c>
      <c r="L18" s="471" t="str">
        <f>IF(L$1&gt;=$F18,HLOOKUP($C18,'1.7 Revenues by Licensor'!$B$6:$AO$29,L$2,FALSE)/1000000,"")</f>
        <v/>
      </c>
      <c r="M18" s="471" t="str">
        <f>IF(M$1&gt;=$F18,HLOOKUP($C18,'1.7 Revenues by Licensor'!$B$6:$AO$29,M$2,FALSE)/1000000,"")</f>
        <v/>
      </c>
      <c r="N18" s="471" t="str">
        <f>IF(N$1&gt;=$F18,HLOOKUP($C18,'1.7 Revenues by Licensor'!$B$6:$AO$29,N$2,FALSE)/1000000,"")</f>
        <v/>
      </c>
      <c r="O18" s="471" t="str">
        <f>IF(O$1&gt;=$F18,HLOOKUP($C18,'1.7 Revenues by Licensor'!$B$6:$AO$29,O$2,FALSE)/1000000,"")</f>
        <v/>
      </c>
      <c r="P18" s="471">
        <f>IF(P$1&gt;=$F18,HLOOKUP($C18,'1.7 Revenues by Licensor'!$B$6:$AO$29,P$2,FALSE)/1000000,"")</f>
        <v>0</v>
      </c>
      <c r="Q18" s="471">
        <f>IF(Q$1&gt;=$F18,HLOOKUP($C18,'1.7 Revenues by Licensor'!$B$6:$AO$29,Q$2,FALSE)/1000000,"")</f>
        <v>0</v>
      </c>
      <c r="R18" s="471">
        <f>IF(R$1&gt;=$F18,HLOOKUP($C18,'1.7 Revenues by Licensor'!$B$6:$AO$29,R$2,FALSE)/1000000,"")</f>
        <v>4.0190000000000001</v>
      </c>
      <c r="S18" s="471">
        <f>IF(S$1&gt;=$F18,HLOOKUP($C18,'1.7 Revenues by Licensor'!$B$6:$AO$29,S$2,FALSE)/1000000,"")</f>
        <v>15.05</v>
      </c>
      <c r="T18" s="471">
        <f>IF(T$1&gt;=$F18,HLOOKUP($C18,'1.7 Revenues by Licensor'!$B$6:$AO$29,T$2,FALSE)/1000000,"")</f>
        <v>0.121</v>
      </c>
      <c r="U18" s="471">
        <f>IF(U$1&gt;=$F18,HLOOKUP($C18,'1.7 Revenues by Licensor'!$B$6:$AO$29,U$2,FALSE)/1000000,"")</f>
        <v>36.396000000000001</v>
      </c>
      <c r="V18" s="471">
        <f>IF(V$1&gt;=$F18,HLOOKUP($C18,'1.7 Revenues by Licensor'!$B$6:$AO$29,V$2,FALSE)/1000000,"")</f>
        <v>4.5049999999999999</v>
      </c>
      <c r="W18" s="471">
        <f>IF(W$1&gt;=$F18,HLOOKUP($C18,'1.7 Revenues by Licensor'!$B$6:$AO$29,W$2,FALSE)/1000000,"")</f>
        <v>27.826000000000001</v>
      </c>
      <c r="Z18" s="481"/>
      <c r="AA18" s="481"/>
      <c r="AB18" s="481"/>
      <c r="AC18" s="481"/>
    </row>
    <row r="19" spans="1:29">
      <c r="A19" s="481">
        <f t="shared" si="2"/>
        <v>17</v>
      </c>
      <c r="B19" s="482" t="str">
        <f>VLOOKUP($C19,'Table of Contents'!$B$25:$E$72,4,FALSE)</f>
        <v>3.11</v>
      </c>
      <c r="C19" s="483" t="s">
        <v>434</v>
      </c>
      <c r="D19" s="484" t="str">
        <f>VLOOKUP($C19,'Table of Contents'!$B$25:$E$72,2,FALSE)</f>
        <v>Confirmed</v>
      </c>
      <c r="E19" s="484" t="str">
        <f>VLOOKUP($C19,'Table of Contents'!$B$25:$E$72,3,FALSE)</f>
        <v>Public Corp</v>
      </c>
      <c r="F19" s="458">
        <v>2007</v>
      </c>
      <c r="G19" s="471" t="str">
        <f>IF(G$1&gt;=$F19,HLOOKUP($C19,'1.7 Revenues by Licensor'!$B$6:$AO$29,G$2,FALSE)/1000000,"")</f>
        <v/>
      </c>
      <c r="H19" s="471" t="str">
        <f>IF(H$1&gt;=$F19,HLOOKUP($C19,'1.7 Revenues by Licensor'!$B$6:$AO$29,H$2,FALSE)/1000000,"")</f>
        <v/>
      </c>
      <c r="I19" s="471" t="str">
        <f>IF(I$1&gt;=$F19,HLOOKUP($C19,'1.7 Revenues by Licensor'!$B$6:$AO$29,I$2,FALSE)/1000000,"")</f>
        <v/>
      </c>
      <c r="J19" s="471" t="str">
        <f>IF(J$1&gt;=$F19,HLOOKUP($C19,'1.7 Revenues by Licensor'!$B$6:$AO$29,J$2,FALSE)/1000000,"")</f>
        <v/>
      </c>
      <c r="K19" s="471" t="str">
        <f>IF(K$1&gt;=$F19,HLOOKUP($C19,'1.7 Revenues by Licensor'!$B$6:$AO$29,K$2,FALSE)/1000000,"")</f>
        <v/>
      </c>
      <c r="L19" s="471" t="str">
        <f>IF(L$1&gt;=$F19,HLOOKUP($C19,'1.7 Revenues by Licensor'!$B$6:$AO$29,L$2,FALSE)/1000000,"")</f>
        <v/>
      </c>
      <c r="M19" s="471" t="str">
        <f>IF(M$1&gt;=$F19,HLOOKUP($C19,'1.7 Revenues by Licensor'!$B$6:$AO$29,M$2,FALSE)/1000000,"")</f>
        <v/>
      </c>
      <c r="N19" s="460" t="s">
        <v>447</v>
      </c>
      <c r="O19" s="460" t="s">
        <v>447</v>
      </c>
      <c r="P19" s="460" t="s">
        <v>447</v>
      </c>
      <c r="Q19" s="460" t="s">
        <v>447</v>
      </c>
      <c r="R19" s="460" t="s">
        <v>447</v>
      </c>
      <c r="S19" s="460" t="s">
        <v>447</v>
      </c>
      <c r="T19" s="471">
        <f>IF(T$1&gt;=$F19,HLOOKUP($C19,'1.7 Revenues by Licensor'!$B$6:$AO$29,T$2,FALSE)/1000000,"")</f>
        <v>2.1970000000000001</v>
      </c>
      <c r="U19" s="471">
        <f>IF(U$1&gt;=$F19,HLOOKUP($C19,'1.7 Revenues by Licensor'!$B$6:$AO$29,U$2,FALSE)/1000000,"")</f>
        <v>1.2490000000000001</v>
      </c>
      <c r="V19" s="471">
        <f>IF(V$1&gt;=$F19,HLOOKUP($C19,'1.7 Revenues by Licensor'!$B$6:$AO$29,V$2,FALSE)/1000000,"")</f>
        <v>1.5549999999999999</v>
      </c>
      <c r="W19" s="471">
        <f>IF(W$1&gt;=$F19,HLOOKUP($C19,'1.7 Revenues by Licensor'!$B$6:$AO$29,W$2,FALSE)/1000000,"")</f>
        <v>1.55</v>
      </c>
      <c r="Z19" s="481"/>
      <c r="AA19" s="481"/>
      <c r="AB19" s="481"/>
      <c r="AC19" s="481"/>
    </row>
    <row r="20" spans="1:29">
      <c r="A20" s="481">
        <f t="shared" si="2"/>
        <v>18</v>
      </c>
      <c r="B20" s="482" t="str">
        <f>VLOOKUP($C20,'Table of Contents'!$B$25:$E$72,4,FALSE)</f>
        <v>3.12</v>
      </c>
      <c r="C20" s="483" t="s">
        <v>436</v>
      </c>
      <c r="D20" s="484" t="str">
        <f>VLOOKUP($C20,'Table of Contents'!$B$25:$E$72,2,FALSE)</f>
        <v>Approximated</v>
      </c>
      <c r="E20" s="484" t="str">
        <f>VLOOKUP($C20,'Table of Contents'!$B$25:$E$72,3,FALSE)</f>
        <v>Public Corp</v>
      </c>
      <c r="F20" s="458">
        <v>2013</v>
      </c>
      <c r="G20" s="471" t="str">
        <f>IF(G$1&gt;=$F20,HLOOKUP($C20,'1.7 Revenues by Licensor'!$B$6:$AO$29,G$2,FALSE)/1000000,"")</f>
        <v/>
      </c>
      <c r="H20" s="471" t="str">
        <f>IF(H$1&gt;=$F20,HLOOKUP($C20,'1.7 Revenues by Licensor'!$B$6:$AO$29,H$2,FALSE)/1000000,"")</f>
        <v/>
      </c>
      <c r="I20" s="471" t="str">
        <f>IF(I$1&gt;=$F20,HLOOKUP($C20,'1.7 Revenues by Licensor'!$B$6:$AO$29,I$2,FALSE)/1000000,"")</f>
        <v/>
      </c>
      <c r="J20" s="471" t="str">
        <f>IF(J$1&gt;=$F20,HLOOKUP($C20,'1.7 Revenues by Licensor'!$B$6:$AO$29,J$2,FALSE)/1000000,"")</f>
        <v/>
      </c>
      <c r="K20" s="471" t="str">
        <f>IF(K$1&gt;=$F20,HLOOKUP($C20,'1.7 Revenues by Licensor'!$B$6:$AO$29,K$2,FALSE)/1000000,"")</f>
        <v/>
      </c>
      <c r="L20" s="471" t="str">
        <f>IF(L$1&gt;=$F20,HLOOKUP($C20,'1.7 Revenues by Licensor'!$B$6:$AO$29,L$2,FALSE)/1000000,"")</f>
        <v/>
      </c>
      <c r="M20" s="471" t="str">
        <f>IF(M$1&gt;=$F20,HLOOKUP($C20,'1.7 Revenues by Licensor'!$B$6:$AO$29,M$2,FALSE)/1000000,"")</f>
        <v/>
      </c>
      <c r="N20" s="471" t="str">
        <f>IF(N$1&gt;=$F20,HLOOKUP($C20,'1.7 Revenues by Licensor'!$B$6:$AO$29,N$2,FALSE)/1000000,"")</f>
        <v/>
      </c>
      <c r="O20" s="471" t="str">
        <f>IF(O$1&gt;=$F20,HLOOKUP($C20,'1.7 Revenues by Licensor'!$B$6:$AO$29,O$2,FALSE)/1000000,"")</f>
        <v/>
      </c>
      <c r="P20" s="471" t="str">
        <f>IF(P$1&gt;=$F20,HLOOKUP($C20,'1.7 Revenues by Licensor'!$B$6:$AO$29,P$2,FALSE)/1000000,"")</f>
        <v/>
      </c>
      <c r="Q20" s="471" t="str">
        <f>IF(Q$1&gt;=$F20,HLOOKUP($C20,'1.7 Revenues by Licensor'!$B$6:$AO$29,Q$2,FALSE)/1000000,"")</f>
        <v/>
      </c>
      <c r="R20" s="471" t="str">
        <f>IF(R$1&gt;=$F20,HLOOKUP($C20,'1.7 Revenues by Licensor'!$B$6:$AO$29,R$2,FALSE)/1000000,"")</f>
        <v/>
      </c>
      <c r="S20" s="471" t="str">
        <f>IF(S$1&gt;=$F20,HLOOKUP($C20,'1.7 Revenues by Licensor'!$B$6:$AO$29,S$2,FALSE)/1000000,"")</f>
        <v/>
      </c>
      <c r="T20" s="460">
        <f>IF(T$1&gt;=$F20,HLOOKUP($C20,'1.7 Revenues by Licensor'!$B$6:$AO$29,T$2,FALSE)/1000000,"")</f>
        <v>0</v>
      </c>
      <c r="U20" s="460">
        <f>IF(U$1&gt;=$F20,HLOOKUP($C20,'1.7 Revenues by Licensor'!$B$6:$AO$29,U$2,FALSE)/1000000,"")</f>
        <v>0</v>
      </c>
      <c r="V20" s="460">
        <f>IF(V$1&gt;=$F20,HLOOKUP($C20,'1.7 Revenues by Licensor'!$B$6:$AO$29,V$2,FALSE)/1000000,"")</f>
        <v>0</v>
      </c>
      <c r="W20" s="460">
        <f>IF(W$1&gt;=$F20,HLOOKUP($C20,'1.7 Revenues by Licensor'!$B$6:$AO$29,W$2,FALSE)/1000000,"")</f>
        <v>0</v>
      </c>
      <c r="Z20" s="481"/>
      <c r="AA20" s="481"/>
      <c r="AB20" s="481"/>
      <c r="AC20" s="481"/>
    </row>
    <row r="21" spans="1:29">
      <c r="A21" s="481">
        <f t="shared" si="2"/>
        <v>19</v>
      </c>
      <c r="B21" s="482" t="str">
        <f>VLOOKUP($C21,'Table of Contents'!$B$25:$E$72,4,FALSE)</f>
        <v>3.13</v>
      </c>
      <c r="C21" s="483" t="s">
        <v>893</v>
      </c>
      <c r="D21" s="484" t="str">
        <f>VLOOKUP($C21,'Table of Contents'!$B$25:$E$72,2,FALSE)</f>
        <v>Approximated</v>
      </c>
      <c r="E21" s="484" t="str">
        <f>VLOOKUP($C21,'Table of Contents'!$B$25:$E$72,3,FALSE)</f>
        <v>Public Corp</v>
      </c>
      <c r="F21" s="458">
        <v>2007</v>
      </c>
      <c r="G21" s="471" t="str">
        <f>IF(G$1&gt;=$F21,HLOOKUP($C21,'1.7 Revenues by Licensor'!$B$6:$AO$29,G$2,FALSE)/1000000,"")</f>
        <v/>
      </c>
      <c r="H21" s="471" t="str">
        <f>IF(H$1&gt;=$F21,HLOOKUP($C21,'1.7 Revenues by Licensor'!$B$6:$AO$29,H$2,FALSE)/1000000,"")</f>
        <v/>
      </c>
      <c r="I21" s="471" t="str">
        <f>IF(I$1&gt;=$F21,HLOOKUP($C21,'1.7 Revenues by Licensor'!$B$6:$AO$29,I$2,FALSE)/1000000,"")</f>
        <v/>
      </c>
      <c r="J21" s="471" t="str">
        <f>IF(J$1&gt;=$F21,HLOOKUP($C21,'1.7 Revenues by Licensor'!$B$6:$AO$29,J$2,FALSE)/1000000,"")</f>
        <v/>
      </c>
      <c r="K21" s="471" t="str">
        <f>IF(K$1&gt;=$F21,HLOOKUP($C21,'1.7 Revenues by Licensor'!$B$6:$AO$29,K$2,FALSE)/1000000,"")</f>
        <v/>
      </c>
      <c r="L21" s="471" t="str">
        <f>IF(L$1&gt;=$F21,HLOOKUP($C21,'1.7 Revenues by Licensor'!$B$6:$AO$29,L$2,FALSE)/1000000,"")</f>
        <v/>
      </c>
      <c r="M21" s="471" t="str">
        <f>IF(M$1&gt;=$F21,HLOOKUP($C21,'1.7 Revenues by Licensor'!$B$6:$AO$29,M$2,FALSE)/1000000,"")</f>
        <v/>
      </c>
      <c r="N21" s="471">
        <f>IF(N$1&gt;=$F21,HLOOKUP($C21,'1.7 Revenues by Licensor'!$B$6:$AO$29,N$2,FALSE)/1000000,"")</f>
        <v>126.5</v>
      </c>
      <c r="O21" s="471">
        <f>IF(O$1&gt;=$F21,HLOOKUP($C21,'1.7 Revenues by Licensor'!$B$6:$AO$29,O$2,FALSE)/1000000,"")</f>
        <v>163</v>
      </c>
      <c r="P21" s="471">
        <f>IF(P$1&gt;=$F21,HLOOKUP($C21,'1.7 Revenues by Licensor'!$B$6:$AO$29,P$2,FALSE)/1000000,"")</f>
        <v>149.5</v>
      </c>
      <c r="Q21" s="471">
        <f>IF(Q$1&gt;=$F21,HLOOKUP($C21,'1.7 Revenues by Licensor'!$B$6:$AO$29,Q$2,FALSE)/1000000,"")</f>
        <v>128.75</v>
      </c>
      <c r="R21" s="471">
        <f>IF(R$1&gt;=$F21,HLOOKUP($C21,'1.7 Revenues by Licensor'!$B$6:$AO$29,R$2,FALSE)/1000000,"")</f>
        <v>130</v>
      </c>
      <c r="S21" s="471">
        <f>IF(S$1&gt;=$F21,HLOOKUP($C21,'1.7 Revenues by Licensor'!$B$6:$AO$29,S$2,FALSE)/1000000,"")</f>
        <v>143.75</v>
      </c>
      <c r="T21" s="471">
        <f>IF(T$1&gt;=$F21,HLOOKUP($C21,'1.7 Revenues by Licensor'!$B$6:$AO$29,T$2,FALSE)/1000000,"")</f>
        <v>125.5</v>
      </c>
      <c r="U21" s="471">
        <f>IF(U$1&gt;=$F21,HLOOKUP($C21,'1.7 Revenues by Licensor'!$B$6:$AO$29,U$2,FALSE)/1000000,"")</f>
        <v>103</v>
      </c>
      <c r="V21" s="471">
        <f>IF(V$1&gt;=$F21,HLOOKUP($C21,'1.7 Revenues by Licensor'!$B$6:$AO$29,V$2,FALSE)/1000000,"")</f>
        <v>105</v>
      </c>
      <c r="W21" s="471">
        <f>IF(W$1&gt;=$F21,HLOOKUP($C21,'1.7 Revenues by Licensor'!$B$6:$AO$29,W$2,FALSE)/1000000,"")</f>
        <v>354.25</v>
      </c>
      <c r="Z21" s="481"/>
      <c r="AA21" s="481"/>
      <c r="AB21" s="481"/>
      <c r="AC21" s="481"/>
    </row>
    <row r="22" spans="1:29">
      <c r="A22" s="481">
        <f t="shared" si="2"/>
        <v>20</v>
      </c>
      <c r="B22" s="482" t="str">
        <f>VLOOKUP($C22,'Table of Contents'!$B$25:$E$72,4,FALSE)</f>
        <v>3.14</v>
      </c>
      <c r="C22" s="483" t="s">
        <v>894</v>
      </c>
      <c r="D22" s="484" t="str">
        <f>VLOOKUP($C22,'Table of Contents'!$B$25:$E$72,2,FALSE)</f>
        <v>Approximated</v>
      </c>
      <c r="E22" s="484" t="str">
        <f>VLOOKUP($C22,'Table of Contents'!$B$25:$E$72,3,FALSE)</f>
        <v>Public Corp</v>
      </c>
      <c r="F22" s="458">
        <v>2013</v>
      </c>
      <c r="G22" s="471" t="str">
        <f>IF(G$1&gt;=$F22,HLOOKUP($C22,'1.7 Revenues by Licensor'!$B$6:$AO$29,G$2,FALSE)/1000000,"")</f>
        <v/>
      </c>
      <c r="H22" s="471" t="str">
        <f>IF(H$1&gt;=$F22,HLOOKUP($C22,'1.7 Revenues by Licensor'!$B$6:$AO$29,H$2,FALSE)/1000000,"")</f>
        <v/>
      </c>
      <c r="I22" s="471" t="str">
        <f>IF(I$1&gt;=$F22,HLOOKUP($C22,'1.7 Revenues by Licensor'!$B$6:$AO$29,I$2,FALSE)/1000000,"")</f>
        <v/>
      </c>
      <c r="J22" s="471" t="str">
        <f>IF(J$1&gt;=$F22,HLOOKUP($C22,'1.7 Revenues by Licensor'!$B$6:$AO$29,J$2,FALSE)/1000000,"")</f>
        <v/>
      </c>
      <c r="K22" s="471" t="str">
        <f>IF(K$1&gt;=$F22,HLOOKUP($C22,'1.7 Revenues by Licensor'!$B$6:$AO$29,K$2,FALSE)/1000000,"")</f>
        <v/>
      </c>
      <c r="L22" s="471" t="str">
        <f>IF(L$1&gt;=$F22,HLOOKUP($C22,'1.7 Revenues by Licensor'!$B$6:$AO$29,L$2,FALSE)/1000000,"")</f>
        <v/>
      </c>
      <c r="M22" s="471" t="str">
        <f>IF(M$1&gt;=$F22,HLOOKUP($C22,'1.7 Revenues by Licensor'!$B$6:$AO$29,M$2,FALSE)/1000000,"")</f>
        <v/>
      </c>
      <c r="N22" s="471" t="str">
        <f>IF(N$1&gt;=$F22,HLOOKUP($C22,'1.7 Revenues by Licensor'!$B$6:$AO$29,N$2,FALSE)/1000000,"")</f>
        <v/>
      </c>
      <c r="O22" s="471" t="str">
        <f>IF(O$1&gt;=$F22,HLOOKUP($C22,'1.7 Revenues by Licensor'!$B$6:$AO$29,O$2,FALSE)/1000000,"")</f>
        <v/>
      </c>
      <c r="P22" s="471" t="str">
        <f>IF(P$1&gt;=$F22,HLOOKUP($C22,'1.7 Revenues by Licensor'!$B$6:$AO$29,P$2,FALSE)/1000000,"")</f>
        <v/>
      </c>
      <c r="Q22" s="471" t="str">
        <f>IF(Q$1&gt;=$F22,HLOOKUP($C22,'1.7 Revenues by Licensor'!$B$6:$AO$29,Q$2,FALSE)/1000000,"")</f>
        <v/>
      </c>
      <c r="R22" s="471" t="str">
        <f>IF(R$1&gt;=$F22,HLOOKUP($C22,'1.7 Revenues by Licensor'!$B$6:$AO$29,R$2,FALSE)/1000000,"")</f>
        <v/>
      </c>
      <c r="S22" s="471" t="str">
        <f>IF(S$1&gt;=$F22,HLOOKUP($C22,'1.7 Revenues by Licensor'!$B$6:$AO$29,S$2,FALSE)/1000000,"")</f>
        <v/>
      </c>
      <c r="T22" s="471">
        <f>IF(T$1&gt;=$F22,HLOOKUP($C22,'1.7 Revenues by Licensor'!$B$6:$AO$29,T$2,FALSE)/1000000,"")</f>
        <v>0</v>
      </c>
      <c r="U22" s="471">
        <f>IF(U$1&gt;=$F22,HLOOKUP($C22,'1.7 Revenues by Licensor'!$B$6:$AO$29,U$2,FALSE)/1000000,"")</f>
        <v>0.84358999999999995</v>
      </c>
      <c r="V22" s="471">
        <f>IF(V$1&gt;=$F22,HLOOKUP($C22,'1.7 Revenues by Licensor'!$B$6:$AO$29,V$2,FALSE)/1000000,"")</f>
        <v>1.3409</v>
      </c>
      <c r="W22" s="471">
        <f>IF(W$1&gt;=$F22,HLOOKUP($C22,'1.7 Revenues by Licensor'!$B$6:$AO$29,W$2,FALSE)/1000000,"")</f>
        <v>3.9669500000000002</v>
      </c>
      <c r="Z22" s="481"/>
      <c r="AA22" s="481"/>
      <c r="AB22" s="481"/>
      <c r="AC22" s="481"/>
    </row>
    <row r="23" spans="1:29">
      <c r="A23" s="481">
        <f t="shared" si="2"/>
        <v>21</v>
      </c>
      <c r="B23" s="482" t="str">
        <f>VLOOKUP($C23,'Table of Contents'!$B$25:$E$72,4,FALSE)</f>
        <v>3.15</v>
      </c>
      <c r="C23" s="483" t="s">
        <v>892</v>
      </c>
      <c r="D23" s="484" t="str">
        <f>VLOOKUP($C23,'Table of Contents'!$B$25:$E$72,2,FALSE)</f>
        <v>Approximated</v>
      </c>
      <c r="E23" s="484" t="str">
        <f>VLOOKUP($C23,'Table of Contents'!$B$25:$E$72,3,FALSE)</f>
        <v>Public Corp</v>
      </c>
      <c r="F23" s="458">
        <v>2007</v>
      </c>
      <c r="G23" s="471" t="str">
        <f>IF(G$1&gt;=$F23,HLOOKUP($C23,'1.7 Revenues by Licensor'!$B$6:$AO$29,G$2,FALSE)/1000000,"")</f>
        <v/>
      </c>
      <c r="H23" s="471" t="str">
        <f>IF(H$1&gt;=$F23,HLOOKUP($C23,'1.7 Revenues by Licensor'!$B$6:$AO$29,H$2,FALSE)/1000000,"")</f>
        <v/>
      </c>
      <c r="I23" s="471" t="str">
        <f>IF(I$1&gt;=$F23,HLOOKUP($C23,'1.7 Revenues by Licensor'!$B$6:$AO$29,I$2,FALSE)/1000000,"")</f>
        <v/>
      </c>
      <c r="J23" s="471" t="str">
        <f>IF(J$1&gt;=$F23,HLOOKUP($C23,'1.7 Revenues by Licensor'!$B$6:$AO$29,J$2,FALSE)/1000000,"")</f>
        <v/>
      </c>
      <c r="K23" s="471" t="str">
        <f>IF(K$1&gt;=$F23,HLOOKUP($C23,'1.7 Revenues by Licensor'!$B$6:$AO$29,K$2,FALSE)/1000000,"")</f>
        <v/>
      </c>
      <c r="L23" s="471" t="str">
        <f>IF(L$1&gt;=$F23,HLOOKUP($C23,'1.7 Revenues by Licensor'!$B$6:$AO$29,L$2,FALSE)/1000000,"")</f>
        <v/>
      </c>
      <c r="M23" s="471" t="str">
        <f>IF(M$1&gt;=$F23,HLOOKUP($C23,'1.7 Revenues by Licensor'!$B$6:$AO$29,M$2,FALSE)/1000000,"")</f>
        <v/>
      </c>
      <c r="N23" s="472">
        <f>IF(N$1&gt;=$F23,HLOOKUP($C23,'1.7 Revenues by Licensor'!$B$6:$AO$29,N$2,FALSE)/1000000,"")</f>
        <v>0</v>
      </c>
      <c r="O23" s="471">
        <f>IF(O$1&gt;=$F23,HLOOKUP($C23,'1.7 Revenues by Licensor'!$B$6:$AO$29,O$2,FALSE)/1000000,"")</f>
        <v>0</v>
      </c>
      <c r="P23" s="471">
        <f>IF(P$1&gt;=$F23,HLOOKUP($C23,'1.7 Revenues by Licensor'!$B$6:$AO$29,P$2,FALSE)/1000000,"")</f>
        <v>0</v>
      </c>
      <c r="Q23" s="471">
        <f>IF(Q$1&gt;=$F23,HLOOKUP($C23,'1.7 Revenues by Licensor'!$B$6:$AO$29,Q$2,FALSE)/1000000,"")</f>
        <v>0</v>
      </c>
      <c r="R23" s="471">
        <f>IF(R$1&gt;=$F23,HLOOKUP($C23,'1.7 Revenues by Licensor'!$B$6:$AO$29,R$2,FALSE)/1000000,"")</f>
        <v>3.2778921600000008</v>
      </c>
      <c r="S23" s="471">
        <f>IF(S$1&gt;=$F23,HLOOKUP($C23,'1.7 Revenues by Licensor'!$B$6:$AO$29,S$2,FALSE)/1000000,"")</f>
        <v>20.041122000000001</v>
      </c>
      <c r="T23" s="471">
        <f>IF(T$1&gt;=$F23,HLOOKUP($C23,'1.7 Revenues by Licensor'!$B$6:$AO$29,T$2,FALSE)/1000000,"")</f>
        <v>36.522682499999995</v>
      </c>
      <c r="U23" s="471">
        <f>IF(U$1&gt;=$F23,HLOOKUP($C23,'1.7 Revenues by Licensor'!$B$6:$AO$29,U$2,FALSE)/1000000,"")</f>
        <v>55.389746999999993</v>
      </c>
      <c r="V23" s="471">
        <f>IF(V$1&gt;=$F23,HLOOKUP($C23,'1.7 Revenues by Licensor'!$B$6:$AO$29,V$2,FALSE)/1000000,"")</f>
        <v>88.366502000000011</v>
      </c>
      <c r="W23" s="471">
        <f>IF(W$1&gt;=$F23,HLOOKUP($C23,'1.7 Revenues by Licensor'!$B$6:$AO$29,W$2,FALSE)/1000000,"")</f>
        <v>64.422753749999998</v>
      </c>
      <c r="Z23" s="481"/>
      <c r="AA23" s="481"/>
      <c r="AB23" s="481"/>
      <c r="AC23" s="481"/>
    </row>
    <row r="24" spans="1:29">
      <c r="A24" s="481">
        <f t="shared" si="2"/>
        <v>22</v>
      </c>
      <c r="B24" s="482" t="str">
        <f>VLOOKUP($C24,'Table of Contents'!$B$25:$E$72,4,FALSE)</f>
        <v>3.16</v>
      </c>
      <c r="C24" s="483" t="s">
        <v>974</v>
      </c>
      <c r="D24" s="484" t="str">
        <f>VLOOKUP($C24,'Table of Contents'!$B$25:$E$72,2,FALSE)</f>
        <v>Approximated</v>
      </c>
      <c r="E24" s="484" t="str">
        <f>VLOOKUP($C24,'Table of Contents'!$B$25:$E$72,3,FALSE)</f>
        <v>Public Corp</v>
      </c>
      <c r="F24" s="458">
        <v>2015</v>
      </c>
      <c r="G24" s="471" t="str">
        <f>IF(G$1&gt;=$F24,HLOOKUP($C24,'1.7 Revenues by Licensor'!$B$6:$AO$29,G$2,FALSE)/1000000,"")</f>
        <v/>
      </c>
      <c r="H24" s="471" t="str">
        <f>IF(H$1&gt;=$F24,HLOOKUP($C24,'1.7 Revenues by Licensor'!$B$6:$AO$29,H$2,FALSE)/1000000,"")</f>
        <v/>
      </c>
      <c r="I24" s="471" t="str">
        <f>IF(I$1&gt;=$F24,HLOOKUP($C24,'1.7 Revenues by Licensor'!$B$6:$AO$29,I$2,FALSE)/1000000,"")</f>
        <v/>
      </c>
      <c r="J24" s="471" t="str">
        <f>IF(J$1&gt;=$F24,HLOOKUP($C24,'1.7 Revenues by Licensor'!$B$6:$AO$29,J$2,FALSE)/1000000,"")</f>
        <v/>
      </c>
      <c r="K24" s="471" t="str">
        <f>IF(K$1&gt;=$F24,HLOOKUP($C24,'1.7 Revenues by Licensor'!$B$6:$AO$29,K$2,FALSE)/1000000,"")</f>
        <v/>
      </c>
      <c r="L24" s="471" t="str">
        <f>IF(L$1&gt;=$F24,HLOOKUP($C24,'1.7 Revenues by Licensor'!$B$6:$AO$29,L$2,FALSE)/1000000,"")</f>
        <v/>
      </c>
      <c r="M24" s="471" t="str">
        <f>IF(M$1&gt;=$F24,HLOOKUP($C24,'1.7 Revenues by Licensor'!$B$6:$AO$29,M$2,FALSE)/1000000,"")</f>
        <v/>
      </c>
      <c r="N24" s="471" t="str">
        <f>IF(N$1&gt;=$F24,HLOOKUP($C24,'1.7 Revenues by Licensor'!$B$6:$AO$29,N$2,FALSE)/1000000,"")</f>
        <v/>
      </c>
      <c r="O24" s="471" t="str">
        <f>IF(O$1&gt;=$F24,HLOOKUP($C24,'1.7 Revenues by Licensor'!$B$6:$AO$29,O$2,FALSE)/1000000,"")</f>
        <v/>
      </c>
      <c r="P24" s="471" t="str">
        <f>IF(P$1&gt;=$F24,HLOOKUP($C24,'1.7 Revenues by Licensor'!$B$6:$AO$29,P$2,FALSE)/1000000,"")</f>
        <v/>
      </c>
      <c r="Q24" s="471" t="str">
        <f>IF(Q$1&gt;=$F24,HLOOKUP($C24,'1.7 Revenues by Licensor'!$B$6:$AO$29,Q$2,FALSE)/1000000,"")</f>
        <v/>
      </c>
      <c r="R24" s="471" t="str">
        <f>IF(R$1&gt;=$F24,HLOOKUP($C24,'1.7 Revenues by Licensor'!$B$6:$AO$29,R$2,FALSE)/1000000,"")</f>
        <v/>
      </c>
      <c r="S24" s="471" t="str">
        <f>IF(S$1&gt;=$F24,HLOOKUP($C24,'1.7 Revenues by Licensor'!$B$6:$AO$29,S$2,FALSE)/1000000,"")</f>
        <v/>
      </c>
      <c r="T24" s="471" t="str">
        <f>IF(T$1&gt;=$F24,HLOOKUP($C24,'1.7 Revenues by Licensor'!$B$6:$AO$29,T$2,FALSE)/1000000,"")</f>
        <v/>
      </c>
      <c r="U24" s="471" t="str">
        <f>IF(U$1&gt;=$F24,HLOOKUP($C24,'1.7 Revenues by Licensor'!$B$6:$AO$29,U$2,FALSE)/1000000,"")</f>
        <v/>
      </c>
      <c r="V24" s="471">
        <f>IF(V$1&gt;=$F24,HLOOKUP($C24,'1.7 Revenues by Licensor'!$B$6:$AO$29,V$2,FALSE)/1000000,"")</f>
        <v>123</v>
      </c>
      <c r="W24" s="471">
        <f>IF(W$1&gt;=$F24,HLOOKUP($C24,'1.7 Revenues by Licensor'!$B$6:$AO$29,W$2,FALSE)/1000000,"")</f>
        <v>35</v>
      </c>
      <c r="Z24" s="481"/>
      <c r="AA24" s="481"/>
      <c r="AB24" s="481"/>
      <c r="AC24" s="481"/>
    </row>
    <row r="25" spans="1:29">
      <c r="A25" s="481">
        <f t="shared" si="2"/>
        <v>23</v>
      </c>
      <c r="B25" s="482">
        <f>VLOOKUP($C25,'Table of Contents'!$B$25:$E$72,4,FALSE)</f>
        <v>4.0999999999999996</v>
      </c>
      <c r="C25" s="483" t="s">
        <v>509</v>
      </c>
      <c r="D25" s="484" t="str">
        <f>VLOOKUP($C25,'Table of Contents'!$B$25:$E$72,2,FALSE)</f>
        <v>Documented</v>
      </c>
      <c r="E25" s="484" t="str">
        <f>VLOOKUP($C25,'Table of Contents'!$B$25:$E$72,3,FALSE)</f>
        <v>Pool</v>
      </c>
      <c r="F25" s="485">
        <v>2007</v>
      </c>
      <c r="G25" s="471" t="str">
        <f>IF(G$1&gt;=$F25,HLOOKUP($C25,'1.7 Revenues by Licensor'!$B$6:$AO$29,G$2,FALSE)/1000000,"")</f>
        <v/>
      </c>
      <c r="H25" s="471" t="str">
        <f>IF(H$1&gt;=$F25,HLOOKUP($C25,'1.7 Revenues by Licensor'!$B$6:$AO$29,H$2,FALSE)/1000000,"")</f>
        <v/>
      </c>
      <c r="I25" s="471" t="str">
        <f>IF(I$1&gt;=$F25,HLOOKUP($C25,'1.7 Revenues by Licensor'!$B$6:$AO$29,I$2,FALSE)/1000000,"")</f>
        <v/>
      </c>
      <c r="J25" s="471" t="str">
        <f>IF(J$1&gt;=$F25,HLOOKUP($C25,'1.7 Revenues by Licensor'!$B$6:$AO$29,J$2,FALSE)/1000000,"")</f>
        <v/>
      </c>
      <c r="K25" s="471" t="str">
        <f>IF(K$1&gt;=$F25,HLOOKUP($C25,'1.7 Revenues by Licensor'!$B$6:$AO$29,K$2,FALSE)/1000000,"")</f>
        <v/>
      </c>
      <c r="L25" s="471" t="str">
        <f>IF(L$1&gt;=$F25,HLOOKUP($C25,'1.7 Revenues by Licensor'!$B$6:$AO$29,L$2,FALSE)/1000000,"")</f>
        <v/>
      </c>
      <c r="M25" s="471" t="str">
        <f>IF(M$1&gt;=$F25,HLOOKUP($C25,'1.7 Revenues by Licensor'!$B$6:$AO$29,M$2,FALSE)/1000000,"")</f>
        <v/>
      </c>
      <c r="N25" s="471">
        <f>IF(N$1&gt;=$F25,HLOOKUP($C25,'1.7 Revenues by Licensor'!$B$6:$AO$29,N$2,FALSE)/1000000,"")</f>
        <v>118.61400000000002</v>
      </c>
      <c r="O25" s="471">
        <f>IF(O$1&gt;=$F25,HLOOKUP($C25,'1.7 Revenues by Licensor'!$B$6:$AO$29,O$2,FALSE)/1000000,"")</f>
        <v>61.020499999999984</v>
      </c>
      <c r="P25" s="471">
        <f>IF(P$1&gt;=$F25,HLOOKUP($C25,'1.7 Revenues by Licensor'!$B$6:$AO$29,P$2,FALSE)/1000000,"")</f>
        <v>111.04180000000001</v>
      </c>
      <c r="Q25" s="471">
        <f>IF(Q$1&gt;=$F25,HLOOKUP($C25,'1.7 Revenues by Licensor'!$B$6:$AO$29,Q$2,FALSE)/1000000,"")</f>
        <v>118.31909090000002</v>
      </c>
      <c r="R25" s="471">
        <f>IF(R$1&gt;=$F25,HLOOKUP($C25,'1.7 Revenues by Licensor'!$B$6:$AO$29,R$2,FALSE)/1000000,"")</f>
        <v>158.92938272600944</v>
      </c>
      <c r="S25" s="471">
        <f>IF(S$1&gt;=$F25,HLOOKUP($C25,'1.7 Revenues by Licensor'!$B$6:$AO$29,S$2,FALSE)/1000000,"")</f>
        <v>174.34995430418357</v>
      </c>
      <c r="T25" s="471">
        <f>IF(T$1&gt;=$F25,HLOOKUP($C25,'1.7 Revenues by Licensor'!$B$6:$AO$29,T$2,FALSE)/1000000,"")</f>
        <v>165.74217067996165</v>
      </c>
      <c r="U25" s="471">
        <f>IF(U$1&gt;=$F25,HLOOKUP($C25,'1.7 Revenues by Licensor'!$B$6:$AO$29,U$2,FALSE)/1000000,"")</f>
        <v>144.5561796539007</v>
      </c>
      <c r="V25" s="471">
        <f>IF(V$1&gt;=$F25,HLOOKUP($C25,'1.7 Revenues by Licensor'!$B$6:$AO$29,V$2,FALSE)/1000000,"")</f>
        <v>134.77836974602539</v>
      </c>
      <c r="W25" s="471">
        <f>IF(W$1&gt;=$F25,HLOOKUP($C25,'1.7 Revenues by Licensor'!$B$6:$AO$29,W$2,FALSE)/1000000,"")</f>
        <v>119.62617158999998</v>
      </c>
      <c r="Z25" s="481"/>
      <c r="AA25" s="481"/>
      <c r="AB25" s="481"/>
      <c r="AC25" s="481"/>
    </row>
    <row r="26" spans="1:29">
      <c r="A26" s="481">
        <f t="shared" si="2"/>
        <v>24</v>
      </c>
      <c r="B26" s="482">
        <f>VLOOKUP($C26,'Table of Contents'!$B$25:$E$72,4,FALSE)</f>
        <v>4.2</v>
      </c>
      <c r="C26" s="483" t="s">
        <v>508</v>
      </c>
      <c r="D26" s="484" t="str">
        <f>VLOOKUP($C26,'Table of Contents'!$B$25:$E$72,2,FALSE)</f>
        <v>Approximated</v>
      </c>
      <c r="E26" s="484" t="str">
        <f>VLOOKUP($C26,'Table of Contents'!$B$25:$E$72,3,FALSE)</f>
        <v>Pool</v>
      </c>
      <c r="F26" s="485">
        <v>2015</v>
      </c>
      <c r="G26" s="471" t="str">
        <f>IF(G$1&gt;=$F26,HLOOKUP($C26,'1.7 Revenues by Licensor'!$B$6:$AO$29,G$2,FALSE)/1000000,"")</f>
        <v/>
      </c>
      <c r="H26" s="471" t="str">
        <f>IF(H$1&gt;=$F26,HLOOKUP($C26,'1.7 Revenues by Licensor'!$B$6:$AO$29,H$2,FALSE)/1000000,"")</f>
        <v/>
      </c>
      <c r="I26" s="471" t="str">
        <f>IF(I$1&gt;=$F26,HLOOKUP($C26,'1.7 Revenues by Licensor'!$B$6:$AO$29,I$2,FALSE)/1000000,"")</f>
        <v/>
      </c>
      <c r="J26" s="471" t="str">
        <f>IF(J$1&gt;=$F26,HLOOKUP($C26,'1.7 Revenues by Licensor'!$B$6:$AO$29,J$2,FALSE)/1000000,"")</f>
        <v/>
      </c>
      <c r="K26" s="471" t="str">
        <f>IF(K$1&gt;=$F26,HLOOKUP($C26,'1.7 Revenues by Licensor'!$B$6:$AO$29,K$2,FALSE)/1000000,"")</f>
        <v/>
      </c>
      <c r="L26" s="471" t="str">
        <f>IF(L$1&gt;=$F26,HLOOKUP($C26,'1.7 Revenues by Licensor'!$B$6:$AO$29,L$2,FALSE)/1000000,"")</f>
        <v/>
      </c>
      <c r="M26" s="471" t="str">
        <f>IF(M$1&gt;=$F26,HLOOKUP($C26,'1.7 Revenues by Licensor'!$B$6:$AO$29,M$2,FALSE)/1000000,"")</f>
        <v/>
      </c>
      <c r="N26" s="471" t="str">
        <f>IF(N$1&gt;=$F26,HLOOKUP($C26,'1.7 Revenues by Licensor'!$B$6:$AO$29,N$2,FALSE)/1000000,"")</f>
        <v/>
      </c>
      <c r="O26" s="471" t="str">
        <f>IF(O$1&gt;=$F26,HLOOKUP($C26,'1.7 Revenues by Licensor'!$B$6:$AO$29,O$2,FALSE)/1000000,"")</f>
        <v/>
      </c>
      <c r="P26" s="471" t="str">
        <f>IF(P$1&gt;=$F26,HLOOKUP($C26,'1.7 Revenues by Licensor'!$B$6:$AO$29,P$2,FALSE)/1000000,"")</f>
        <v/>
      </c>
      <c r="Q26" s="471" t="str">
        <f>IF(Q$1&gt;=$F26,HLOOKUP($C26,'1.7 Revenues by Licensor'!$B$6:$AO$29,Q$2,FALSE)/1000000,"")</f>
        <v/>
      </c>
      <c r="R26" s="471" t="str">
        <f>IF(R$1&gt;=$F26,HLOOKUP($C26,'1.7 Revenues by Licensor'!$B$6:$AO$29,R$2,FALSE)/1000000,"")</f>
        <v/>
      </c>
      <c r="S26" s="471" t="str">
        <f>IF(S$1&gt;=$F26,HLOOKUP($C26,'1.7 Revenues by Licensor'!$B$6:$AO$29,S$2,FALSE)/1000000,"")</f>
        <v/>
      </c>
      <c r="T26" s="471" t="str">
        <f>IF(T$1&gt;=$F26,HLOOKUP($C26,'1.7 Revenues by Licensor'!$B$6:$AO$29,T$2,FALSE)/1000000,"")</f>
        <v/>
      </c>
      <c r="U26" s="471" t="str">
        <f>IF(U$1&gt;=$F26,HLOOKUP($C26,'1.7 Revenues by Licensor'!$B$6:$AO$29,U$2,FALSE)/1000000,"")</f>
        <v/>
      </c>
      <c r="V26" s="460">
        <f>IF(V$1&gt;=$F26,HLOOKUP($C26,'1.7 Revenues by Licensor'!$B$6:$AO$29,V$2,FALSE)/1000000,"")</f>
        <v>0</v>
      </c>
      <c r="W26" s="460">
        <f>IF(W$1&gt;=$F26,HLOOKUP($C26,'1.7 Revenues by Licensor'!$B$6:$AO$29,W$2,FALSE)/1000000,"")</f>
        <v>0</v>
      </c>
      <c r="Z26" s="481"/>
      <c r="AA26" s="481"/>
      <c r="AB26" s="481"/>
      <c r="AC26" s="481"/>
    </row>
    <row r="27" spans="1:29">
      <c r="A27" s="481">
        <f t="shared" si="2"/>
        <v>25</v>
      </c>
      <c r="B27" s="482">
        <f>VLOOKUP($C27,'Table of Contents'!$B$25:$E$72,4,FALSE)</f>
        <v>4.3</v>
      </c>
      <c r="C27" s="483" t="s">
        <v>312</v>
      </c>
      <c r="D27" s="484" t="str">
        <f>VLOOKUP($C27,'Table of Contents'!$B$25:$E$72,2,FALSE)</f>
        <v>Documented</v>
      </c>
      <c r="E27" s="484" t="str">
        <f>VLOOKUP($C27,'Table of Contents'!$B$25:$E$72,3,FALSE)</f>
        <v>Pool</v>
      </c>
      <c r="F27" s="485">
        <v>2007</v>
      </c>
      <c r="G27" s="471" t="str">
        <f>IF(G$1&gt;=$F27,HLOOKUP($C27,'1.7 Revenues by Licensor'!$B$6:$AO$29,G$2,FALSE)/1000000,"")</f>
        <v/>
      </c>
      <c r="H27" s="471" t="str">
        <f>IF(H$1&gt;=$F27,HLOOKUP($C27,'1.7 Revenues by Licensor'!$B$6:$AO$29,H$2,FALSE)/1000000,"")</f>
        <v/>
      </c>
      <c r="I27" s="471" t="str">
        <f>IF(I$1&gt;=$F27,HLOOKUP($C27,'1.7 Revenues by Licensor'!$B$6:$AO$29,I$2,FALSE)/1000000,"")</f>
        <v/>
      </c>
      <c r="J27" s="471" t="str">
        <f>IF(J$1&gt;=$F27,HLOOKUP($C27,'1.7 Revenues by Licensor'!$B$6:$AO$29,J$2,FALSE)/1000000,"")</f>
        <v/>
      </c>
      <c r="K27" s="471" t="str">
        <f>IF(K$1&gt;=$F27,HLOOKUP($C27,'1.7 Revenues by Licensor'!$B$6:$AO$29,K$2,FALSE)/1000000,"")</f>
        <v/>
      </c>
      <c r="L27" s="471" t="str">
        <f>IF(L$1&gt;=$F27,HLOOKUP($C27,'1.7 Revenues by Licensor'!$B$6:$AO$29,L$2,FALSE)/1000000,"")</f>
        <v/>
      </c>
      <c r="M27" s="471" t="str">
        <f>IF(M$1&gt;=$F27,HLOOKUP($C27,'1.7 Revenues by Licensor'!$B$6:$AO$29,M$2,FALSE)/1000000,"")</f>
        <v/>
      </c>
      <c r="N27" s="471">
        <f>IF(N$1&gt;=$F27,HLOOKUP($C27,'1.7 Revenues by Licensor'!$B$6:$AO$29,N$2,FALSE)/1000000,"")</f>
        <v>53.464499999999994</v>
      </c>
      <c r="O27" s="471">
        <f>IF(O$1&gt;=$F27,HLOOKUP($C27,'1.7 Revenues by Licensor'!$B$6:$AO$29,O$2,FALSE)/1000000,"")</f>
        <v>52.062499999999986</v>
      </c>
      <c r="P27" s="471">
        <f>IF(P$1&gt;=$F27,HLOOKUP($C27,'1.7 Revenues by Licensor'!$B$6:$AO$29,P$2,FALSE)/1000000,"")</f>
        <v>51.845000000000006</v>
      </c>
      <c r="Q27" s="471">
        <f>IF(Q$1&gt;=$F27,HLOOKUP($C27,'1.7 Revenues by Licensor'!$B$6:$AO$29,Q$2,FALSE)/1000000,"")</f>
        <v>67.033727250000027</v>
      </c>
      <c r="R27" s="471">
        <f>IF(R$1&gt;=$F27,HLOOKUP($C27,'1.7 Revenues by Licensor'!$B$6:$AO$29,R$2,FALSE)/1000000,"")</f>
        <v>81.639347565023627</v>
      </c>
      <c r="S27" s="471">
        <f>IF(S$1&gt;=$F27,HLOOKUP($C27,'1.7 Revenues by Licensor'!$B$6:$AO$29,S$2,FALSE)/1000000,"")</f>
        <v>91.422931997958884</v>
      </c>
      <c r="T27" s="471">
        <f>IF(T$1&gt;=$F27,HLOOKUP($C27,'1.7 Revenues by Licensor'!$B$6:$AO$29,T$2,FALSE)/1000000,"")</f>
        <v>109.24569654990421</v>
      </c>
      <c r="U27" s="471">
        <f>IF(U$1&gt;=$F27,HLOOKUP($C27,'1.7 Revenues by Licensor'!$B$6:$AO$29,U$2,FALSE)/1000000,"")</f>
        <v>105.94499850975166</v>
      </c>
      <c r="V27" s="471">
        <f>IF(V$1&gt;=$F27,HLOOKUP($C27,'1.7 Revenues by Licensor'!$B$6:$AO$29,V$2,FALSE)/1000000,"")</f>
        <v>110.51351089712691</v>
      </c>
      <c r="W27" s="471">
        <f>IF(W$1&gt;=$F27,HLOOKUP($C27,'1.7 Revenues by Licensor'!$B$6:$AO$29,W$2,FALSE)/1000000,"")</f>
        <v>110.80493299999992</v>
      </c>
      <c r="Z27" s="481"/>
      <c r="AA27" s="481"/>
      <c r="AB27" s="481"/>
      <c r="AC27" s="481"/>
    </row>
    <row r="28" spans="1:29">
      <c r="A28" s="481">
        <f t="shared" si="2"/>
        <v>26</v>
      </c>
      <c r="B28" s="482">
        <f>VLOOKUP($C28,'Table of Contents'!$B$25:$E$72,4,FALSE)</f>
        <v>4.4000000000000004</v>
      </c>
      <c r="C28" s="483" t="s">
        <v>525</v>
      </c>
      <c r="D28" s="484" t="str">
        <f>VLOOKUP($C28,'Table of Contents'!$B$25:$E$72,2,FALSE)</f>
        <v>Documented</v>
      </c>
      <c r="E28" s="484" t="str">
        <f>VLOOKUP($C28,'Table of Contents'!$B$25:$E$72,3,FALSE)</f>
        <v>Pool</v>
      </c>
      <c r="F28" s="485">
        <v>2007</v>
      </c>
      <c r="G28" s="471" t="str">
        <f>IF(G$1&gt;=$F28,HLOOKUP($C28,'1.7 Revenues by Licensor'!$B$6:$AO$29,G$2,FALSE)/1000000,"")</f>
        <v/>
      </c>
      <c r="H28" s="471" t="str">
        <f>IF(H$1&gt;=$F28,HLOOKUP($C28,'1.7 Revenues by Licensor'!$B$6:$AO$29,H$2,FALSE)/1000000,"")</f>
        <v/>
      </c>
      <c r="I28" s="471" t="str">
        <f>IF(I$1&gt;=$F28,HLOOKUP($C28,'1.7 Revenues by Licensor'!$B$6:$AO$29,I$2,FALSE)/1000000,"")</f>
        <v/>
      </c>
      <c r="J28" s="471" t="str">
        <f>IF(J$1&gt;=$F28,HLOOKUP($C28,'1.7 Revenues by Licensor'!$B$6:$AO$29,J$2,FALSE)/1000000,"")</f>
        <v/>
      </c>
      <c r="K28" s="471" t="str">
        <f>IF(K$1&gt;=$F28,HLOOKUP($C28,'1.7 Revenues by Licensor'!$B$6:$AO$29,K$2,FALSE)/1000000,"")</f>
        <v/>
      </c>
      <c r="L28" s="471" t="str">
        <f>IF(L$1&gt;=$F28,HLOOKUP($C28,'1.7 Revenues by Licensor'!$B$6:$AO$29,L$2,FALSE)/1000000,"")</f>
        <v/>
      </c>
      <c r="M28" s="471" t="str">
        <f>IF(M$1&gt;=$F28,HLOOKUP($C28,'1.7 Revenues by Licensor'!$B$6:$AO$29,M$2,FALSE)/1000000,"")</f>
        <v/>
      </c>
      <c r="N28" s="471">
        <f>IF(N$1&gt;=$F28,HLOOKUP($C28,'1.7 Revenues by Licensor'!$B$6:$AO$29,N$2,FALSE)/1000000,"")</f>
        <v>29.334999999999997</v>
      </c>
      <c r="O28" s="471">
        <f>IF(O$1&gt;=$F28,HLOOKUP($C28,'1.7 Revenues by Licensor'!$B$6:$AO$29,O$2,FALSE)/1000000,"")</f>
        <v>30.502499999999994</v>
      </c>
      <c r="P28" s="471">
        <f>IF(P$1&gt;=$F28,HLOOKUP($C28,'1.7 Revenues by Licensor'!$B$6:$AO$29,P$2,FALSE)/1000000,"")</f>
        <v>33.2791</v>
      </c>
      <c r="Q28" s="471">
        <f>IF(Q$1&gt;=$F28,HLOOKUP($C28,'1.7 Revenues by Licensor'!$B$6:$AO$29,Q$2,FALSE)/1000000,"")</f>
        <v>40.600690900000011</v>
      </c>
      <c r="R28" s="471">
        <f>IF(R$1&gt;=$F28,HLOOKUP($C28,'1.7 Revenues by Licensor'!$B$6:$AO$29,R$2,FALSE)/1000000,"")</f>
        <v>52.199939026009446</v>
      </c>
      <c r="S28" s="471">
        <f>IF(S$1&gt;=$F28,HLOOKUP($C28,'1.7 Revenues by Licensor'!$B$6:$AO$29,S$2,FALSE)/1000000,"")</f>
        <v>54.976364999183559</v>
      </c>
      <c r="T28" s="471">
        <f>IF(T$1&gt;=$F28,HLOOKUP($C28,'1.7 Revenues by Licensor'!$B$6:$AO$29,T$2,FALSE)/1000000,"")</f>
        <v>63.206211919961689</v>
      </c>
      <c r="U28" s="471">
        <f>IF(U$1&gt;=$F28,HLOOKUP($C28,'1.7 Revenues by Licensor'!$B$6:$AO$29,U$2,FALSE)/1000000,"")</f>
        <v>64.357999403900664</v>
      </c>
      <c r="V28" s="471">
        <f>IF(V$1&gt;=$F28,HLOOKUP($C28,'1.7 Revenues by Licensor'!$B$6:$AO$29,V$2,FALSE)/1000000,"")</f>
        <v>66.116526058850766</v>
      </c>
      <c r="W28" s="471">
        <f>IF(W$1&gt;=$F28,HLOOKUP($C28,'1.7 Revenues by Licensor'!$B$6:$AO$29,W$2,FALSE)/1000000,"")</f>
        <v>68.349576299999967</v>
      </c>
      <c r="Z28" s="481"/>
      <c r="AA28" s="481"/>
      <c r="AB28" s="481"/>
      <c r="AC28" s="481"/>
    </row>
    <row r="29" spans="1:29">
      <c r="A29" s="481">
        <f t="shared" si="2"/>
        <v>27</v>
      </c>
      <c r="B29" s="482">
        <f>VLOOKUP($C29,'Table of Contents'!$B$25:$E$72,4,FALSE)</f>
        <v>4.5</v>
      </c>
      <c r="C29" s="483" t="s">
        <v>510</v>
      </c>
      <c r="D29" s="484" t="str">
        <f>VLOOKUP($C29,'Table of Contents'!$B$25:$E$72,2,FALSE)</f>
        <v>Researched</v>
      </c>
      <c r="E29" s="484" t="str">
        <f>VLOOKUP($C29,'Table of Contents'!$B$25:$E$72,3,FALSE)</f>
        <v>Pool</v>
      </c>
      <c r="F29" s="485">
        <v>2015</v>
      </c>
      <c r="G29" s="471" t="str">
        <f>IF(G$1&gt;=$F29,HLOOKUP($C29,'1.7 Revenues by Licensor'!$B$6:$AO$29,G$2,FALSE)/1000000,"")</f>
        <v/>
      </c>
      <c r="H29" s="471" t="str">
        <f>IF(H$1&gt;=$F29,HLOOKUP($C29,'1.7 Revenues by Licensor'!$B$6:$AO$29,H$2,FALSE)/1000000,"")</f>
        <v/>
      </c>
      <c r="I29" s="471" t="str">
        <f>IF(I$1&gt;=$F29,HLOOKUP($C29,'1.7 Revenues by Licensor'!$B$6:$AO$29,I$2,FALSE)/1000000,"")</f>
        <v/>
      </c>
      <c r="J29" s="471" t="str">
        <f>IF(J$1&gt;=$F29,HLOOKUP($C29,'1.7 Revenues by Licensor'!$B$6:$AO$29,J$2,FALSE)/1000000,"")</f>
        <v/>
      </c>
      <c r="K29" s="471" t="str">
        <f>IF(K$1&gt;=$F29,HLOOKUP($C29,'1.7 Revenues by Licensor'!$B$6:$AO$29,K$2,FALSE)/1000000,"")</f>
        <v/>
      </c>
      <c r="L29" s="471" t="str">
        <f>IF(L$1&gt;=$F29,HLOOKUP($C29,'1.7 Revenues by Licensor'!$B$6:$AO$29,L$2,FALSE)/1000000,"")</f>
        <v/>
      </c>
      <c r="M29" s="471" t="str">
        <f>IF(M$1&gt;=$F29,HLOOKUP($C29,'1.7 Revenues by Licensor'!$B$6:$AO$29,M$2,FALSE)/1000000,"")</f>
        <v/>
      </c>
      <c r="N29" s="471" t="str">
        <f>IF(N$1&gt;=$F29,HLOOKUP($C29,'1.7 Revenues by Licensor'!$B$6:$AO$29,N$2,FALSE)/1000000,"")</f>
        <v/>
      </c>
      <c r="O29" s="471" t="str">
        <f>IF(O$1&gt;=$F29,HLOOKUP($C29,'1.7 Revenues by Licensor'!$B$6:$AO$29,O$2,FALSE)/1000000,"")</f>
        <v/>
      </c>
      <c r="P29" s="471" t="str">
        <f>IF(P$1&gt;=$F29,HLOOKUP($C29,'1.7 Revenues by Licensor'!$B$6:$AO$29,P$2,FALSE)/1000000,"")</f>
        <v/>
      </c>
      <c r="Q29" s="471" t="str">
        <f>IF(Q$1&gt;=$F29,HLOOKUP($C29,'1.7 Revenues by Licensor'!$B$6:$AO$29,Q$2,FALSE)/1000000,"")</f>
        <v/>
      </c>
      <c r="R29" s="471" t="str">
        <f>IF(R$1&gt;=$F29,HLOOKUP($C29,'1.7 Revenues by Licensor'!$B$6:$AO$29,R$2,FALSE)/1000000,"")</f>
        <v/>
      </c>
      <c r="S29" s="471" t="str">
        <f>IF(S$1&gt;=$F29,HLOOKUP($C29,'1.7 Revenues by Licensor'!$B$6:$AO$29,S$2,FALSE)/1000000,"")</f>
        <v/>
      </c>
      <c r="T29" s="471" t="str">
        <f>IF(T$1&gt;=$F29,HLOOKUP($C29,'1.7 Revenues by Licensor'!$B$6:$AO$29,T$2,FALSE)/1000000,"")</f>
        <v/>
      </c>
      <c r="U29" s="471" t="str">
        <f>IF(U$1&gt;=$F29,HLOOKUP($C29,'1.7 Revenues by Licensor'!$B$6:$AO$29,U$2,FALSE)/1000000,"")</f>
        <v/>
      </c>
      <c r="V29" s="471">
        <f>IF(V$1&gt;=$F29,HLOOKUP($C29,'1.7 Revenues by Licensor'!$B$6:$AO$29,V$2,FALSE)/1000000,"")</f>
        <v>0</v>
      </c>
      <c r="W29" s="471">
        <f>IF(W$1&gt;=$F29,HLOOKUP($C29,'1.7 Revenues by Licensor'!$B$6:$AO$29,W$2,FALSE)/1000000,"")</f>
        <v>0</v>
      </c>
      <c r="Z29" s="481"/>
      <c r="AA29" s="481"/>
      <c r="AB29" s="481"/>
      <c r="AC29" s="481"/>
    </row>
    <row r="30" spans="1:29">
      <c r="A30" s="481">
        <f t="shared" si="2"/>
        <v>28</v>
      </c>
      <c r="B30" s="482">
        <f>VLOOKUP($C30,'Table of Contents'!$B$25:$E$72,4,FALSE)</f>
        <v>4.5999999999999996</v>
      </c>
      <c r="C30" s="483" t="s">
        <v>511</v>
      </c>
      <c r="D30" s="484" t="str">
        <f>VLOOKUP($C30,'Table of Contents'!$B$25:$E$72,2,FALSE)</f>
        <v>Researched</v>
      </c>
      <c r="E30" s="484" t="str">
        <f>VLOOKUP($C30,'Table of Contents'!$B$25:$E$72,3,FALSE)</f>
        <v>Pool</v>
      </c>
      <c r="F30" s="458">
        <v>2015</v>
      </c>
      <c r="G30" s="471" t="str">
        <f>IF(G$1&gt;=$F30,HLOOKUP($C30,'1.7 Revenues by Licensor'!$B$6:$AO$29,G$2,FALSE)/1000000,"")</f>
        <v/>
      </c>
      <c r="H30" s="471" t="str">
        <f>IF(H$1&gt;=$F30,HLOOKUP($C30,'1.7 Revenues by Licensor'!$B$6:$AO$29,H$2,FALSE)/1000000,"")</f>
        <v/>
      </c>
      <c r="I30" s="471" t="str">
        <f>IF(I$1&gt;=$F30,HLOOKUP($C30,'1.7 Revenues by Licensor'!$B$6:$AO$29,I$2,FALSE)/1000000,"")</f>
        <v/>
      </c>
      <c r="J30" s="471" t="str">
        <f>IF(J$1&gt;=$F30,HLOOKUP($C30,'1.7 Revenues by Licensor'!$B$6:$AO$29,J$2,FALSE)/1000000,"")</f>
        <v/>
      </c>
      <c r="K30" s="471" t="str">
        <f>IF(K$1&gt;=$F30,HLOOKUP($C30,'1.7 Revenues by Licensor'!$B$6:$AO$29,K$2,FALSE)/1000000,"")</f>
        <v/>
      </c>
      <c r="L30" s="471" t="str">
        <f>IF(L$1&gt;=$F30,HLOOKUP($C30,'1.7 Revenues by Licensor'!$B$6:$AO$29,L$2,FALSE)/1000000,"")</f>
        <v/>
      </c>
      <c r="M30" s="471" t="str">
        <f>IF(M$1&gt;=$F30,HLOOKUP($C30,'1.7 Revenues by Licensor'!$B$6:$AO$29,M$2,FALSE)/1000000,"")</f>
        <v/>
      </c>
      <c r="N30" s="471" t="str">
        <f>IF(N$1&gt;=$F30,HLOOKUP($C30,'1.7 Revenues by Licensor'!$B$6:$AO$29,N$2,FALSE)/1000000,"")</f>
        <v/>
      </c>
      <c r="O30" s="471" t="str">
        <f>IF(O$1&gt;=$F30,HLOOKUP($C30,'1.7 Revenues by Licensor'!$B$6:$AO$29,O$2,FALSE)/1000000,"")</f>
        <v/>
      </c>
      <c r="P30" s="471" t="str">
        <f>IF(P$1&gt;=$F30,HLOOKUP($C30,'1.7 Revenues by Licensor'!$B$6:$AO$29,P$2,FALSE)/1000000,"")</f>
        <v/>
      </c>
      <c r="Q30" s="471" t="str">
        <f>IF(Q$1&gt;=$F30,HLOOKUP($C30,'1.7 Revenues by Licensor'!$B$6:$AO$29,Q$2,FALSE)/1000000,"")</f>
        <v/>
      </c>
      <c r="R30" s="471" t="str">
        <f>IF(R$1&gt;=$F30,HLOOKUP($C30,'1.7 Revenues by Licensor'!$B$6:$AO$29,R$2,FALSE)/1000000,"")</f>
        <v/>
      </c>
      <c r="S30" s="471" t="str">
        <f>IF(S$1&gt;=$F30,HLOOKUP($C30,'1.7 Revenues by Licensor'!$B$6:$AO$29,S$2,FALSE)/1000000,"")</f>
        <v/>
      </c>
      <c r="T30" s="471" t="str">
        <f>IF(T$1&gt;=$F30,HLOOKUP($C30,'1.7 Revenues by Licensor'!$B$6:$AO$29,T$2,FALSE)/1000000,"")</f>
        <v/>
      </c>
      <c r="U30" s="471" t="str">
        <f>IF(U$1&gt;=$F30,HLOOKUP($C30,'1.7 Revenues by Licensor'!$B$6:$AO$29,U$2,FALSE)/1000000,"")</f>
        <v/>
      </c>
      <c r="V30" s="471">
        <f>IF(V$1&gt;=$F30,HLOOKUP($C30,'1.7 Revenues by Licensor'!$B$6:$AO$29,V$2,FALSE)/1000000,"")</f>
        <v>0</v>
      </c>
      <c r="W30" s="471">
        <f>IF(W$1&gt;=$F30,HLOOKUP($C30,'1.7 Revenues by Licensor'!$B$6:$AO$29,W$2,FALSE)/1000000,"")</f>
        <v>0</v>
      </c>
      <c r="Z30" s="481"/>
      <c r="AA30" s="481"/>
      <c r="AB30" s="481"/>
      <c r="AC30" s="481"/>
    </row>
    <row r="31" spans="1:29">
      <c r="A31" s="481">
        <f t="shared" si="2"/>
        <v>29</v>
      </c>
      <c r="B31" s="482">
        <f>VLOOKUP($C31,'Table of Contents'!$B$25:$E$72,4,FALSE)</f>
        <v>4.7</v>
      </c>
      <c r="C31" s="483" t="s">
        <v>891</v>
      </c>
      <c r="D31" s="484" t="str">
        <f>VLOOKUP($C31,'Table of Contents'!$B$25:$E$72,2,FALSE)</f>
        <v>Researched</v>
      </c>
      <c r="E31" s="484" t="str">
        <f>VLOOKUP($C31,'Table of Contents'!$B$25:$E$72,3,FALSE)</f>
        <v>Pool</v>
      </c>
      <c r="F31" s="458">
        <v>2015</v>
      </c>
      <c r="G31" s="471" t="str">
        <f>IF(G$1&gt;=$F31,HLOOKUP($C31,'1.7 Revenues by Licensor'!$B$6:$AO$29,G$2,FALSE)/1000000,"")</f>
        <v/>
      </c>
      <c r="H31" s="471" t="str">
        <f>IF(H$1&gt;=$F31,HLOOKUP($C31,'1.7 Revenues by Licensor'!$B$6:$AO$29,H$2,FALSE)/1000000,"")</f>
        <v/>
      </c>
      <c r="I31" s="471" t="str">
        <f>IF(I$1&gt;=$F31,HLOOKUP($C31,'1.7 Revenues by Licensor'!$B$6:$AO$29,I$2,FALSE)/1000000,"")</f>
        <v/>
      </c>
      <c r="J31" s="471" t="str">
        <f>IF(J$1&gt;=$F31,HLOOKUP($C31,'1.7 Revenues by Licensor'!$B$6:$AO$29,J$2,FALSE)/1000000,"")</f>
        <v/>
      </c>
      <c r="K31" s="471" t="str">
        <f>IF(K$1&gt;=$F31,HLOOKUP($C31,'1.7 Revenues by Licensor'!$B$6:$AO$29,K$2,FALSE)/1000000,"")</f>
        <v/>
      </c>
      <c r="L31" s="471" t="str">
        <f>IF(L$1&gt;=$F31,HLOOKUP($C31,'1.7 Revenues by Licensor'!$B$6:$AO$29,L$2,FALSE)/1000000,"")</f>
        <v/>
      </c>
      <c r="M31" s="471" t="str">
        <f>IF(M$1&gt;=$F31,HLOOKUP($C31,'1.7 Revenues by Licensor'!$B$6:$AO$29,M$2,FALSE)/1000000,"")</f>
        <v/>
      </c>
      <c r="N31" s="471" t="str">
        <f>IF(N$1&gt;=$F31,HLOOKUP($C31,'1.7 Revenues by Licensor'!$B$6:$AO$29,N$2,FALSE)/1000000,"")</f>
        <v/>
      </c>
      <c r="O31" s="471" t="str">
        <f>IF(O$1&gt;=$F31,HLOOKUP($C31,'1.7 Revenues by Licensor'!$B$6:$AO$29,O$2,FALSE)/1000000,"")</f>
        <v/>
      </c>
      <c r="P31" s="471" t="str">
        <f>IF(P$1&gt;=$F31,HLOOKUP($C31,'1.7 Revenues by Licensor'!$B$6:$AO$29,P$2,FALSE)/1000000,"")</f>
        <v/>
      </c>
      <c r="Q31" s="471" t="str">
        <f>IF(Q$1&gt;=$F31,HLOOKUP($C31,'1.7 Revenues by Licensor'!$B$6:$AO$29,Q$2,FALSE)/1000000,"")</f>
        <v/>
      </c>
      <c r="R31" s="471" t="str">
        <f>IF(R$1&gt;=$F31,HLOOKUP($C31,'1.7 Revenues by Licensor'!$B$6:$AO$29,R$2,FALSE)/1000000,"")</f>
        <v/>
      </c>
      <c r="S31" s="471" t="str">
        <f>IF(S$1&gt;=$F31,HLOOKUP($C31,'1.7 Revenues by Licensor'!$B$6:$AO$29,S$2,FALSE)/1000000,"")</f>
        <v/>
      </c>
      <c r="T31" s="471" t="str">
        <f>IF(T$1&gt;=$F31,HLOOKUP($C31,'1.7 Revenues by Licensor'!$B$6:$AO$29,T$2,FALSE)/1000000,"")</f>
        <v/>
      </c>
      <c r="U31" s="471" t="str">
        <f>IF(U$1&gt;=$F31,HLOOKUP($C31,'1.7 Revenues by Licensor'!$B$6:$AO$29,U$2,FALSE)/1000000,"")</f>
        <v/>
      </c>
      <c r="V31" s="471">
        <f>IF(V$1&gt;=$F31,HLOOKUP($C31,'1.7 Revenues by Licensor'!$B$6:$AO$29,V$2,FALSE)/1000000,"")</f>
        <v>86.982900000000001</v>
      </c>
      <c r="W31" s="471">
        <f>IF(W$1&gt;=$F31,HLOOKUP($C31,'1.7 Revenues by Licensor'!$B$6:$AO$29,W$2,FALSE)/1000000,"")</f>
        <v>86.982900000000001</v>
      </c>
      <c r="Z31" s="481"/>
      <c r="AA31" s="481"/>
      <c r="AB31" s="481"/>
      <c r="AC31" s="481"/>
    </row>
    <row r="32" spans="1:29">
      <c r="A32" s="481">
        <f t="shared" si="2"/>
        <v>30</v>
      </c>
      <c r="B32" s="482">
        <f>VLOOKUP($C32,'Table of Contents'!$B$25:$E$72,4,FALSE)</f>
        <v>4.8</v>
      </c>
      <c r="C32" s="483" t="s">
        <v>554</v>
      </c>
      <c r="D32" s="484" t="str">
        <f>VLOOKUP($C32,'Table of Contents'!$B$25:$E$72,2,FALSE)</f>
        <v>Researched</v>
      </c>
      <c r="E32" s="484" t="str">
        <f>VLOOKUP($C32,'Table of Contents'!$B$25:$E$72,3,FALSE)</f>
        <v>Pool</v>
      </c>
      <c r="F32" s="458">
        <v>2015</v>
      </c>
      <c r="G32" s="471" t="str">
        <f>IF(G$1&gt;=$F32,HLOOKUP($C32,'1.7 Revenues by Licensor'!$B$6:$AO$29,G$2,FALSE)/1000000,"")</f>
        <v/>
      </c>
      <c r="H32" s="471" t="str">
        <f>IF(H$1&gt;=$F32,HLOOKUP($C32,'1.7 Revenues by Licensor'!$B$6:$AO$29,H$2,FALSE)/1000000,"")</f>
        <v/>
      </c>
      <c r="I32" s="471" t="str">
        <f>IF(I$1&gt;=$F32,HLOOKUP($C32,'1.7 Revenues by Licensor'!$B$6:$AO$29,I$2,FALSE)/1000000,"")</f>
        <v/>
      </c>
      <c r="J32" s="471" t="str">
        <f>IF(J$1&gt;=$F32,HLOOKUP($C32,'1.7 Revenues by Licensor'!$B$6:$AO$29,J$2,FALSE)/1000000,"")</f>
        <v/>
      </c>
      <c r="K32" s="471" t="str">
        <f>IF(K$1&gt;=$F32,HLOOKUP($C32,'1.7 Revenues by Licensor'!$B$6:$AO$29,K$2,FALSE)/1000000,"")</f>
        <v/>
      </c>
      <c r="L32" s="471" t="str">
        <f>IF(L$1&gt;=$F32,HLOOKUP($C32,'1.7 Revenues by Licensor'!$B$6:$AO$29,L$2,FALSE)/1000000,"")</f>
        <v/>
      </c>
      <c r="M32" s="471" t="str">
        <f>IF(M$1&gt;=$F32,HLOOKUP($C32,'1.7 Revenues by Licensor'!$B$6:$AO$29,M$2,FALSE)/1000000,"")</f>
        <v/>
      </c>
      <c r="N32" s="471" t="str">
        <f>IF(N$1&gt;=$F32,HLOOKUP($C32,'1.7 Revenues by Licensor'!$B$6:$AO$29,N$2,FALSE)/1000000,"")</f>
        <v/>
      </c>
      <c r="O32" s="471" t="str">
        <f>IF(O$1&gt;=$F32,HLOOKUP($C32,'1.7 Revenues by Licensor'!$B$6:$AO$29,O$2,FALSE)/1000000,"")</f>
        <v/>
      </c>
      <c r="P32" s="471" t="str">
        <f>IF(P$1&gt;=$F32,HLOOKUP($C32,'1.7 Revenues by Licensor'!$B$6:$AO$29,P$2,FALSE)/1000000,"")</f>
        <v/>
      </c>
      <c r="Q32" s="471" t="str">
        <f>IF(Q$1&gt;=$F32,HLOOKUP($C32,'1.7 Revenues by Licensor'!$B$6:$AO$29,Q$2,FALSE)/1000000,"")</f>
        <v/>
      </c>
      <c r="R32" s="471" t="str">
        <f>IF(R$1&gt;=$F32,HLOOKUP($C32,'1.7 Revenues by Licensor'!$B$6:$AO$29,R$2,FALSE)/1000000,"")</f>
        <v/>
      </c>
      <c r="S32" s="471" t="str">
        <f>IF(S$1&gt;=$F32,HLOOKUP($C32,'1.7 Revenues by Licensor'!$B$6:$AO$29,S$2,FALSE)/1000000,"")</f>
        <v/>
      </c>
      <c r="T32" s="471" t="str">
        <f>IF(T$1&gt;=$F32,HLOOKUP($C32,'1.7 Revenues by Licensor'!$B$6:$AO$29,T$2,FALSE)/1000000,"")</f>
        <v/>
      </c>
      <c r="U32" s="471" t="str">
        <f>IF(U$1&gt;=$F32,HLOOKUP($C32,'1.7 Revenues by Licensor'!$B$6:$AO$29,U$2,FALSE)/1000000,"")</f>
        <v/>
      </c>
      <c r="V32" s="471">
        <f>IF(V$1&gt;=$F32,HLOOKUP($C32,'1.7 Revenues by Licensor'!$B$6:$AO$29,V$2,FALSE)/1000000,"")</f>
        <v>0</v>
      </c>
      <c r="W32" s="471">
        <f>IF(W$1&gt;=$F32,HLOOKUP($C32,'1.7 Revenues by Licensor'!$B$6:$AO$29,W$2,FALSE)/1000000,"")</f>
        <v>0</v>
      </c>
      <c r="Z32" s="481"/>
      <c r="AA32" s="481"/>
      <c r="AB32" s="481"/>
      <c r="AC32" s="481"/>
    </row>
    <row r="33" spans="1:23">
      <c r="A33" s="481">
        <f t="shared" si="2"/>
        <v>31</v>
      </c>
      <c r="B33" s="482">
        <f>VLOOKUP($C33,'Table of Contents'!$B$25:$E$72,4,FALSE)</f>
        <v>4.9000000000000004</v>
      </c>
      <c r="C33" s="483" t="s">
        <v>971</v>
      </c>
      <c r="D33" s="484" t="str">
        <f>VLOOKUP($C33,'Table of Contents'!$B$25:$E$72,2,FALSE)</f>
        <v>Documented</v>
      </c>
      <c r="E33" s="484" t="str">
        <f>VLOOKUP($C33,'Table of Contents'!$B$25:$E$72,3,FALSE)</f>
        <v>Pool</v>
      </c>
      <c r="F33" s="458">
        <v>2016</v>
      </c>
      <c r="G33" s="471" t="str">
        <f>IF(G$1&gt;=$F33,HLOOKUP($C33,'1.7 Revenues by Licensor'!$B$6:$AO$29,G$2,FALSE)/1000000,"")</f>
        <v/>
      </c>
      <c r="H33" s="471" t="str">
        <f>IF(H$1&gt;=$F33,HLOOKUP($C33,'1.7 Revenues by Licensor'!$B$6:$AO$29,H$2,FALSE)/1000000,"")</f>
        <v/>
      </c>
      <c r="I33" s="471" t="str">
        <f>IF(I$1&gt;=$F33,HLOOKUP($C33,'1.7 Revenues by Licensor'!$B$6:$AO$29,I$2,FALSE)/1000000,"")</f>
        <v/>
      </c>
      <c r="J33" s="471" t="str">
        <f>IF(J$1&gt;=$F33,HLOOKUP($C33,'1.7 Revenues by Licensor'!$B$6:$AO$29,J$2,FALSE)/1000000,"")</f>
        <v/>
      </c>
      <c r="K33" s="471" t="str">
        <f>IF(K$1&gt;=$F33,HLOOKUP($C33,'1.7 Revenues by Licensor'!$B$6:$AO$29,K$2,FALSE)/1000000,"")</f>
        <v/>
      </c>
      <c r="L33" s="471" t="str">
        <f>IF(L$1&gt;=$F33,HLOOKUP($C33,'1.7 Revenues by Licensor'!$B$6:$AO$29,L$2,FALSE)/1000000,"")</f>
        <v/>
      </c>
      <c r="M33" s="471" t="str">
        <f>IF(M$1&gt;=$F33,HLOOKUP($C33,'1.7 Revenues by Licensor'!$B$6:$AO$29,M$2,FALSE)/1000000,"")</f>
        <v/>
      </c>
      <c r="N33" s="471" t="str">
        <f>IF(N$1&gt;=$F33,HLOOKUP($C33,'1.7 Revenues by Licensor'!$B$6:$AO$29,N$2,FALSE)/1000000,"")</f>
        <v/>
      </c>
      <c r="O33" s="471" t="str">
        <f>IF(O$1&gt;=$F33,HLOOKUP($C33,'1.7 Revenues by Licensor'!$B$6:$AO$29,O$2,FALSE)/1000000,"")</f>
        <v/>
      </c>
      <c r="P33" s="471" t="str">
        <f>IF(P$1&gt;=$F33,HLOOKUP($C33,'1.7 Revenues by Licensor'!$B$6:$AO$29,P$2,FALSE)/1000000,"")</f>
        <v/>
      </c>
      <c r="Q33" s="471" t="str">
        <f>IF(Q$1&gt;=$F33,HLOOKUP($C33,'1.7 Revenues by Licensor'!$B$6:$AO$29,Q$2,FALSE)/1000000,"")</f>
        <v/>
      </c>
      <c r="R33" s="471" t="str">
        <f>IF(R$1&gt;=$F33,HLOOKUP($C33,'1.7 Revenues by Licensor'!$B$6:$AO$29,R$2,FALSE)/1000000,"")</f>
        <v/>
      </c>
      <c r="S33" s="471" t="str">
        <f>IF(S$1&gt;=$F33,HLOOKUP($C33,'1.7 Revenues by Licensor'!$B$6:$AO$29,S$2,FALSE)/1000000,"")</f>
        <v/>
      </c>
      <c r="T33" s="471" t="str">
        <f>IF(T$1&gt;=$F33,HLOOKUP($C33,'1.7 Revenues by Licensor'!$B$6:$AO$29,T$2,FALSE)/1000000,"")</f>
        <v/>
      </c>
      <c r="U33" s="471" t="str">
        <f>IF(U$1&gt;=$F33,HLOOKUP($C33,'1.7 Revenues by Licensor'!$B$6:$AO$29,U$2,FALSE)/1000000,"")</f>
        <v/>
      </c>
      <c r="V33" s="471" t="str">
        <f>IF(V$1&gt;=$F33,HLOOKUP($C33,'1.7 Revenues by Licensor'!$B$6:$AO$29,V$2,FALSE)/1000000,"")</f>
        <v/>
      </c>
      <c r="W33" s="471">
        <f>IF(W$1&gt;=$F33,HLOOKUP($C33,'1.7 Revenues by Licensor'!$B$6:$AO$29,W$2,FALSE)/1000000,"")</f>
        <v>50</v>
      </c>
    </row>
    <row r="34" spans="1:23">
      <c r="A34" s="481">
        <f t="shared" si="2"/>
        <v>32</v>
      </c>
      <c r="B34" s="482">
        <f>VLOOKUP($C34,'Table of Contents'!$B$25:$E$72,4,FALSE)</f>
        <v>4.0999999999999996</v>
      </c>
      <c r="C34" s="483" t="s">
        <v>969</v>
      </c>
      <c r="D34" s="484" t="str">
        <f>VLOOKUP($C34,'Table of Contents'!$B$25:$E$72,2,FALSE)</f>
        <v>Documented</v>
      </c>
      <c r="E34" s="484" t="str">
        <f>VLOOKUP($C34,'Table of Contents'!$B$25:$E$72,3,FALSE)</f>
        <v>Pool</v>
      </c>
      <c r="F34" s="458">
        <v>2016</v>
      </c>
      <c r="G34" s="471" t="str">
        <f>IF(G$1&gt;=$F34,HLOOKUP($C34,'1.7 Revenues by Licensor'!$B$6:$AO$29,G$2,FALSE)/1000000,"")</f>
        <v/>
      </c>
      <c r="H34" s="471" t="str">
        <f>IF(H$1&gt;=$F34,HLOOKUP($C34,'1.7 Revenues by Licensor'!$B$6:$AO$29,H$2,FALSE)/1000000,"")</f>
        <v/>
      </c>
      <c r="I34" s="471" t="str">
        <f>IF(I$1&gt;=$F34,HLOOKUP($C34,'1.7 Revenues by Licensor'!$B$6:$AO$29,I$2,FALSE)/1000000,"")</f>
        <v/>
      </c>
      <c r="J34" s="471" t="str">
        <f>IF(J$1&gt;=$F34,HLOOKUP($C34,'1.7 Revenues by Licensor'!$B$6:$AO$29,J$2,FALSE)/1000000,"")</f>
        <v/>
      </c>
      <c r="K34" s="471" t="str">
        <f>IF(K$1&gt;=$F34,HLOOKUP($C34,'1.7 Revenues by Licensor'!$B$6:$AO$29,K$2,FALSE)/1000000,"")</f>
        <v/>
      </c>
      <c r="L34" s="471" t="str">
        <f>IF(L$1&gt;=$F34,HLOOKUP($C34,'1.7 Revenues by Licensor'!$B$6:$AO$29,L$2,FALSE)/1000000,"")</f>
        <v/>
      </c>
      <c r="M34" s="471" t="str">
        <f>IF(M$1&gt;=$F34,HLOOKUP($C34,'1.7 Revenues by Licensor'!$B$6:$AO$29,M$2,FALSE)/1000000,"")</f>
        <v/>
      </c>
      <c r="N34" s="471" t="str">
        <f>IF(N$1&gt;=$F34,HLOOKUP($C34,'1.7 Revenues by Licensor'!$B$6:$AO$29,N$2,FALSE)/1000000,"")</f>
        <v/>
      </c>
      <c r="O34" s="471" t="str">
        <f>IF(O$1&gt;=$F34,HLOOKUP($C34,'1.7 Revenues by Licensor'!$B$6:$AO$29,O$2,FALSE)/1000000,"")</f>
        <v/>
      </c>
      <c r="P34" s="471" t="str">
        <f>IF(P$1&gt;=$F34,HLOOKUP($C34,'1.7 Revenues by Licensor'!$B$6:$AO$29,P$2,FALSE)/1000000,"")</f>
        <v/>
      </c>
      <c r="Q34" s="471" t="str">
        <f>IF(Q$1&gt;=$F34,HLOOKUP($C34,'1.7 Revenues by Licensor'!$B$6:$AO$29,Q$2,FALSE)/1000000,"")</f>
        <v/>
      </c>
      <c r="R34" s="471" t="str">
        <f>IF(R$1&gt;=$F34,HLOOKUP($C34,'1.7 Revenues by Licensor'!$B$6:$AO$29,R$2,FALSE)/1000000,"")</f>
        <v/>
      </c>
      <c r="S34" s="471" t="str">
        <f>IF(S$1&gt;=$F34,HLOOKUP($C34,'1.7 Revenues by Licensor'!$B$6:$AO$29,S$2,FALSE)/1000000,"")</f>
        <v/>
      </c>
      <c r="T34" s="471" t="str">
        <f>IF(T$1&gt;=$F34,HLOOKUP($C34,'1.7 Revenues by Licensor'!$B$6:$AO$29,T$2,FALSE)/1000000,"")</f>
        <v/>
      </c>
      <c r="U34" s="471" t="str">
        <f>IF(U$1&gt;=$F34,HLOOKUP($C34,'1.7 Revenues by Licensor'!$B$6:$AO$29,U$2,FALSE)/1000000,"")</f>
        <v/>
      </c>
      <c r="V34" s="471" t="str">
        <f>IF(V$1&gt;=$F34,HLOOKUP($C34,'1.7 Revenues by Licensor'!$B$6:$AO$29,V$2,FALSE)/1000000,"")</f>
        <v/>
      </c>
      <c r="W34" s="471">
        <f>IF(W$1&gt;=$F34,HLOOKUP($C34,'1.7 Revenues by Licensor'!$B$6:$AO$29,W$2,FALSE)/1000000,"")</f>
        <v>30</v>
      </c>
    </row>
    <row r="35" spans="1:23">
      <c r="A35" s="481">
        <f t="shared" si="2"/>
        <v>33</v>
      </c>
      <c r="B35" s="482">
        <f>VLOOKUP($C35,'Table of Contents'!$B$25:$E$72,4,FALSE)</f>
        <v>4.1100000000000003</v>
      </c>
      <c r="C35" s="483" t="s">
        <v>970</v>
      </c>
      <c r="D35" s="484" t="str">
        <f>VLOOKUP($C35,'Table of Contents'!$B$25:$E$72,2,FALSE)</f>
        <v>Researched</v>
      </c>
      <c r="E35" s="484" t="str">
        <f>VLOOKUP($C35,'Table of Contents'!$B$25:$E$72,3,FALSE)</f>
        <v>Pool</v>
      </c>
      <c r="F35" s="458">
        <v>2017</v>
      </c>
      <c r="G35" s="471" t="str">
        <f>IF(G$1&gt;=$F35,HLOOKUP($C35,'1.7 Revenues by Licensor'!$B$6:$AO$29,G$2,FALSE)/1000000,"")</f>
        <v/>
      </c>
      <c r="H35" s="471" t="str">
        <f>IF(H$1&gt;=$F35,HLOOKUP($C35,'1.7 Revenues by Licensor'!$B$6:$AO$29,H$2,FALSE)/1000000,"")</f>
        <v/>
      </c>
      <c r="I35" s="471" t="str">
        <f>IF(I$1&gt;=$F35,HLOOKUP($C35,'1.7 Revenues by Licensor'!$B$6:$AO$29,I$2,FALSE)/1000000,"")</f>
        <v/>
      </c>
      <c r="J35" s="471" t="str">
        <f>IF(J$1&gt;=$F35,HLOOKUP($C35,'1.7 Revenues by Licensor'!$B$6:$AO$29,J$2,FALSE)/1000000,"")</f>
        <v/>
      </c>
      <c r="K35" s="471" t="str">
        <f>IF(K$1&gt;=$F35,HLOOKUP($C35,'1.7 Revenues by Licensor'!$B$6:$AO$29,K$2,FALSE)/1000000,"")</f>
        <v/>
      </c>
      <c r="L35" s="471" t="str">
        <f>IF(L$1&gt;=$F35,HLOOKUP($C35,'1.7 Revenues by Licensor'!$B$6:$AO$29,L$2,FALSE)/1000000,"")</f>
        <v/>
      </c>
      <c r="M35" s="471" t="str">
        <f>IF(M$1&gt;=$F35,HLOOKUP($C35,'1.7 Revenues by Licensor'!$B$6:$AO$29,M$2,FALSE)/1000000,"")</f>
        <v/>
      </c>
      <c r="N35" s="471" t="str">
        <f>IF(N$1&gt;=$F35,HLOOKUP($C35,'1.7 Revenues by Licensor'!$B$6:$AO$29,N$2,FALSE)/1000000,"")</f>
        <v/>
      </c>
      <c r="O35" s="471" t="str">
        <f>IF(O$1&gt;=$F35,HLOOKUP($C35,'1.7 Revenues by Licensor'!$B$6:$AO$29,O$2,FALSE)/1000000,"")</f>
        <v/>
      </c>
      <c r="P35" s="471" t="str">
        <f>IF(P$1&gt;=$F35,HLOOKUP($C35,'1.7 Revenues by Licensor'!$B$6:$AO$29,P$2,FALSE)/1000000,"")</f>
        <v/>
      </c>
      <c r="Q35" s="471" t="str">
        <f>IF(Q$1&gt;=$F35,HLOOKUP($C35,'1.7 Revenues by Licensor'!$B$6:$AO$29,Q$2,FALSE)/1000000,"")</f>
        <v/>
      </c>
      <c r="R35" s="471" t="str">
        <f>IF(R$1&gt;=$F35,HLOOKUP($C35,'1.7 Revenues by Licensor'!$B$6:$AO$29,R$2,FALSE)/1000000,"")</f>
        <v/>
      </c>
      <c r="S35" s="471" t="str">
        <f>IF(S$1&gt;=$F35,HLOOKUP($C35,'1.7 Revenues by Licensor'!$B$6:$AO$29,S$2,FALSE)/1000000,"")</f>
        <v/>
      </c>
      <c r="T35" s="471" t="str">
        <f>IF(T$1&gt;=$F35,HLOOKUP($C35,'1.7 Revenues by Licensor'!$B$6:$AO$29,T$2,FALSE)/1000000,"")</f>
        <v/>
      </c>
      <c r="U35" s="471" t="str">
        <f>IF(U$1&gt;=$F35,HLOOKUP($C35,'1.7 Revenues by Licensor'!$B$6:$AO$29,U$2,FALSE)/1000000,"")</f>
        <v/>
      </c>
      <c r="V35" s="471" t="str">
        <f>IF(V$1&gt;=$F35,HLOOKUP($C35,'1.7 Revenues by Licensor'!$B$6:$AO$29,V$2,FALSE)/1000000,"")</f>
        <v/>
      </c>
      <c r="W35" s="460" t="s">
        <v>447</v>
      </c>
    </row>
    <row r="36" spans="1:23">
      <c r="A36" s="481">
        <f t="shared" si="2"/>
        <v>34</v>
      </c>
      <c r="B36" s="482">
        <f>VLOOKUP($C36,'Table of Contents'!$B$25:$E$72,4,FALSE)</f>
        <v>5.0999999999999996</v>
      </c>
      <c r="C36" s="483" t="s">
        <v>514</v>
      </c>
      <c r="D36" s="484" t="str">
        <f>VLOOKUP($C36,'Table of Contents'!$B$25:$E$72,2,FALSE)</f>
        <v>Researched</v>
      </c>
      <c r="E36" s="484" t="str">
        <f>VLOOKUP($C36,'Table of Contents'!$B$25:$E$72,3,FALSE)</f>
        <v>Private Corp</v>
      </c>
      <c r="F36" s="458">
        <v>2015</v>
      </c>
      <c r="G36" s="471" t="str">
        <f>IF(G$1&gt;=$F36,HLOOKUP($C36,'1.7 Revenues by Licensor'!$B$6:$AO$29,G$2,FALSE)/1000000,"")</f>
        <v/>
      </c>
      <c r="H36" s="471" t="str">
        <f>IF(H$1&gt;=$F36,HLOOKUP($C36,'1.7 Revenues by Licensor'!$B$6:$AO$29,H$2,FALSE)/1000000,"")</f>
        <v/>
      </c>
      <c r="I36" s="471" t="str">
        <f>IF(I$1&gt;=$F36,HLOOKUP($C36,'1.7 Revenues by Licensor'!$B$6:$AO$29,I$2,FALSE)/1000000,"")</f>
        <v/>
      </c>
      <c r="J36" s="471" t="str">
        <f>IF(J$1&gt;=$F36,HLOOKUP($C36,'1.7 Revenues by Licensor'!$B$6:$AO$29,J$2,FALSE)/1000000,"")</f>
        <v/>
      </c>
      <c r="K36" s="471" t="str">
        <f>IF(K$1&gt;=$F36,HLOOKUP($C36,'1.7 Revenues by Licensor'!$B$6:$AO$29,K$2,FALSE)/1000000,"")</f>
        <v/>
      </c>
      <c r="L36" s="471" t="str">
        <f>IF(L$1&gt;=$F36,HLOOKUP($C36,'1.7 Revenues by Licensor'!$B$6:$AO$29,L$2,FALSE)/1000000,"")</f>
        <v/>
      </c>
      <c r="M36" s="471" t="str">
        <f>IF(M$1&gt;=$F36,HLOOKUP($C36,'1.7 Revenues by Licensor'!$B$6:$AO$29,M$2,FALSE)/1000000,"")</f>
        <v/>
      </c>
      <c r="N36" s="471" t="str">
        <f>IF(N$1&gt;=$F36,HLOOKUP($C36,'1.7 Revenues by Licensor'!$B$6:$AO$29,N$2,FALSE)/1000000,"")</f>
        <v/>
      </c>
      <c r="O36" s="471" t="str">
        <f>IF(O$1&gt;=$F36,HLOOKUP($C36,'1.7 Revenues by Licensor'!$B$6:$AO$29,O$2,FALSE)/1000000,"")</f>
        <v/>
      </c>
      <c r="P36" s="471" t="str">
        <f>IF(P$1&gt;=$F36,HLOOKUP($C36,'1.7 Revenues by Licensor'!$B$6:$AO$29,P$2,FALSE)/1000000,"")</f>
        <v/>
      </c>
      <c r="Q36" s="471" t="str">
        <f>IF(Q$1&gt;=$F36,HLOOKUP($C36,'1.7 Revenues by Licensor'!$B$6:$AO$29,Q$2,FALSE)/1000000,"")</f>
        <v/>
      </c>
      <c r="R36" s="471" t="str">
        <f>IF(R$1&gt;=$F36,HLOOKUP($C36,'1.7 Revenues by Licensor'!$B$6:$AO$29,R$2,FALSE)/1000000,"")</f>
        <v/>
      </c>
      <c r="S36" s="471" t="str">
        <f>IF(S$1&gt;=$F36,HLOOKUP($C36,'1.7 Revenues by Licensor'!$B$6:$AO$29,S$2,FALSE)/1000000,"")</f>
        <v/>
      </c>
      <c r="T36" s="471" t="str">
        <f>IF(T$1&gt;=$F36,HLOOKUP($C36,'1.7 Revenues by Licensor'!$B$6:$AO$29,T$2,FALSE)/1000000,"")</f>
        <v/>
      </c>
      <c r="U36" s="471" t="str">
        <f>IF(U$1&gt;=$F36,HLOOKUP($C36,'1.7 Revenues by Licensor'!$B$6:$AO$29,U$2,FALSE)/1000000,"")</f>
        <v/>
      </c>
      <c r="V36" s="471">
        <f>IF(V$1&gt;=$F36,HLOOKUP($C36,'1.7 Revenues by Licensor'!$B$6:$AO$29,V$2,FALSE)/1000000,"")</f>
        <v>0</v>
      </c>
      <c r="W36" s="471">
        <f>IF(W$1&gt;=$F36,HLOOKUP($C36,'1.7 Revenues by Licensor'!$B$6:$AO$29,W$2,FALSE)/1000000,"")</f>
        <v>0</v>
      </c>
    </row>
    <row r="37" spans="1:23">
      <c r="A37" s="481">
        <f t="shared" si="2"/>
        <v>35</v>
      </c>
      <c r="B37" s="482">
        <f>VLOOKUP($C37,'Table of Contents'!$B$25:$E$72,4,FALSE)</f>
        <v>5.2</v>
      </c>
      <c r="C37" s="483" t="s">
        <v>916</v>
      </c>
      <c r="D37" s="484" t="str">
        <f>VLOOKUP($C37,'Table of Contents'!$B$25:$E$72,2,FALSE)</f>
        <v>Researched</v>
      </c>
      <c r="E37" s="484" t="str">
        <f>VLOOKUP($C37,'Table of Contents'!$B$25:$E$72,3,FALSE)</f>
        <v>Private Corp</v>
      </c>
      <c r="F37" s="458">
        <v>2015</v>
      </c>
      <c r="G37" s="471" t="str">
        <f>IF(G$1&gt;=$F37,HLOOKUP($C37,'1.7 Revenues by Licensor'!$B$6:$AO$29,G$2,FALSE)/1000000,"")</f>
        <v/>
      </c>
      <c r="H37" s="471" t="str">
        <f>IF(H$1&gt;=$F37,HLOOKUP($C37,'1.7 Revenues by Licensor'!$B$6:$AO$29,H$2,FALSE)/1000000,"")</f>
        <v/>
      </c>
      <c r="I37" s="471" t="str">
        <f>IF(I$1&gt;=$F37,HLOOKUP($C37,'1.7 Revenues by Licensor'!$B$6:$AO$29,I$2,FALSE)/1000000,"")</f>
        <v/>
      </c>
      <c r="J37" s="471" t="str">
        <f>IF(J$1&gt;=$F37,HLOOKUP($C37,'1.7 Revenues by Licensor'!$B$6:$AO$29,J$2,FALSE)/1000000,"")</f>
        <v/>
      </c>
      <c r="K37" s="471" t="str">
        <f>IF(K$1&gt;=$F37,HLOOKUP($C37,'1.7 Revenues by Licensor'!$B$6:$AO$29,K$2,FALSE)/1000000,"")</f>
        <v/>
      </c>
      <c r="L37" s="471" t="str">
        <f>IF(L$1&gt;=$F37,HLOOKUP($C37,'1.7 Revenues by Licensor'!$B$6:$AO$29,L$2,FALSE)/1000000,"")</f>
        <v/>
      </c>
      <c r="M37" s="471" t="str">
        <f>IF(M$1&gt;=$F37,HLOOKUP($C37,'1.7 Revenues by Licensor'!$B$6:$AO$29,M$2,FALSE)/1000000,"")</f>
        <v/>
      </c>
      <c r="N37" s="471" t="str">
        <f>IF(N$1&gt;=$F37,HLOOKUP($C37,'1.7 Revenues by Licensor'!$B$6:$AO$29,N$2,FALSE)/1000000,"")</f>
        <v/>
      </c>
      <c r="O37" s="471" t="str">
        <f>IF(O$1&gt;=$F37,HLOOKUP($C37,'1.7 Revenues by Licensor'!$B$6:$AO$29,O$2,FALSE)/1000000,"")</f>
        <v/>
      </c>
      <c r="P37" s="471" t="str">
        <f>IF(P$1&gt;=$F37,HLOOKUP($C37,'1.7 Revenues by Licensor'!$B$6:$AO$29,P$2,FALSE)/1000000,"")</f>
        <v/>
      </c>
      <c r="Q37" s="471" t="str">
        <f>IF(Q$1&gt;=$F37,HLOOKUP($C37,'1.7 Revenues by Licensor'!$B$6:$AO$29,Q$2,FALSE)/1000000,"")</f>
        <v/>
      </c>
      <c r="R37" s="471" t="str">
        <f>IF(R$1&gt;=$F37,HLOOKUP($C37,'1.7 Revenues by Licensor'!$B$6:$AO$29,R$2,FALSE)/1000000,"")</f>
        <v/>
      </c>
      <c r="S37" s="471" t="str">
        <f>IF(S$1&gt;=$F37,HLOOKUP($C37,'1.7 Revenues by Licensor'!$B$6:$AO$29,S$2,FALSE)/1000000,"")</f>
        <v/>
      </c>
      <c r="T37" s="471" t="str">
        <f>IF(T$1&gt;=$F37,HLOOKUP($C37,'1.7 Revenues by Licensor'!$B$6:$AO$29,T$2,FALSE)/1000000,"")</f>
        <v/>
      </c>
      <c r="U37" s="471" t="str">
        <f>IF(U$1&gt;=$F37,HLOOKUP($C37,'1.7 Revenues by Licensor'!$B$6:$AO$29,U$2,FALSE)/1000000,"")</f>
        <v/>
      </c>
      <c r="V37" s="471">
        <f>IF(V$1&gt;=$F37,HLOOKUP($C37,'1.7 Revenues by Licensor'!$B$6:$AO$29,V$2,FALSE)/1000000,"")</f>
        <v>0</v>
      </c>
      <c r="W37" s="471">
        <f>IF(W$1&gt;=$F37,HLOOKUP($C37,'1.7 Revenues by Licensor'!$B$6:$AO$29,W$2,FALSE)/1000000,"")</f>
        <v>0</v>
      </c>
    </row>
    <row r="38" spans="1:23">
      <c r="A38" s="481">
        <f t="shared" si="2"/>
        <v>36</v>
      </c>
      <c r="B38" s="482">
        <f>VLOOKUP($C38,'Table of Contents'!$B$25:$E$72,4,FALSE)</f>
        <v>5.3</v>
      </c>
      <c r="C38" s="483" t="s">
        <v>605</v>
      </c>
      <c r="D38" s="484" t="str">
        <f>VLOOKUP($C38,'Table of Contents'!$B$25:$E$72,2,FALSE)</f>
        <v>Researched</v>
      </c>
      <c r="E38" s="484" t="str">
        <f>VLOOKUP($C38,'Table of Contents'!$B$25:$E$72,3,FALSE)</f>
        <v>Private Corp</v>
      </c>
      <c r="F38" s="458">
        <v>2015</v>
      </c>
      <c r="G38" s="471" t="str">
        <f>IF(G$1&gt;=$F38,HLOOKUP($C38,'1.7 Revenues by Licensor'!$B$6:$AO$29,G$2,FALSE)/1000000,"")</f>
        <v/>
      </c>
      <c r="H38" s="471" t="str">
        <f>IF(H$1&gt;=$F38,HLOOKUP($C38,'1.7 Revenues by Licensor'!$B$6:$AO$29,H$2,FALSE)/1000000,"")</f>
        <v/>
      </c>
      <c r="I38" s="471" t="str">
        <f>IF(I$1&gt;=$F38,HLOOKUP($C38,'1.7 Revenues by Licensor'!$B$6:$AO$29,I$2,FALSE)/1000000,"")</f>
        <v/>
      </c>
      <c r="J38" s="471" t="str">
        <f>IF(J$1&gt;=$F38,HLOOKUP($C38,'1.7 Revenues by Licensor'!$B$6:$AO$29,J$2,FALSE)/1000000,"")</f>
        <v/>
      </c>
      <c r="K38" s="471" t="str">
        <f>IF(K$1&gt;=$F38,HLOOKUP($C38,'1.7 Revenues by Licensor'!$B$6:$AO$29,K$2,FALSE)/1000000,"")</f>
        <v/>
      </c>
      <c r="L38" s="471" t="str">
        <f>IF(L$1&gt;=$F38,HLOOKUP($C38,'1.7 Revenues by Licensor'!$B$6:$AO$29,L$2,FALSE)/1000000,"")</f>
        <v/>
      </c>
      <c r="M38" s="471" t="str">
        <f>IF(M$1&gt;=$F38,HLOOKUP($C38,'1.7 Revenues by Licensor'!$B$6:$AO$29,M$2,FALSE)/1000000,"")</f>
        <v/>
      </c>
      <c r="N38" s="471" t="str">
        <f>IF(N$1&gt;=$F38,HLOOKUP($C38,'1.7 Revenues by Licensor'!$B$6:$AO$29,N$2,FALSE)/1000000,"")</f>
        <v/>
      </c>
      <c r="O38" s="471" t="str">
        <f>IF(O$1&gt;=$F38,HLOOKUP($C38,'1.7 Revenues by Licensor'!$B$6:$AO$29,O$2,FALSE)/1000000,"")</f>
        <v/>
      </c>
      <c r="P38" s="471" t="str">
        <f>IF(P$1&gt;=$F38,HLOOKUP($C38,'1.7 Revenues by Licensor'!$B$6:$AO$29,P$2,FALSE)/1000000,"")</f>
        <v/>
      </c>
      <c r="Q38" s="471" t="str">
        <f>IF(Q$1&gt;=$F38,HLOOKUP($C38,'1.7 Revenues by Licensor'!$B$6:$AO$29,Q$2,FALSE)/1000000,"")</f>
        <v/>
      </c>
      <c r="R38" s="471" t="str">
        <f>IF(R$1&gt;=$F38,HLOOKUP($C38,'1.7 Revenues by Licensor'!$B$6:$AO$29,R$2,FALSE)/1000000,"")</f>
        <v/>
      </c>
      <c r="S38" s="471" t="str">
        <f>IF(S$1&gt;=$F38,HLOOKUP($C38,'1.7 Revenues by Licensor'!$B$6:$AO$29,S$2,FALSE)/1000000,"")</f>
        <v/>
      </c>
      <c r="T38" s="471" t="str">
        <f>IF(T$1&gt;=$F38,HLOOKUP($C38,'1.7 Revenues by Licensor'!$B$6:$AO$29,T$2,FALSE)/1000000,"")</f>
        <v/>
      </c>
      <c r="U38" s="471" t="str">
        <f>IF(U$1&gt;=$F38,HLOOKUP($C38,'1.7 Revenues by Licensor'!$B$6:$AO$29,U$2,FALSE)/1000000,"")</f>
        <v/>
      </c>
      <c r="V38" s="471">
        <f>IF(V$1&gt;=$F38,HLOOKUP($C38,'1.7 Revenues by Licensor'!$B$6:$AO$29,V$2,FALSE)/1000000,"")</f>
        <v>2.4</v>
      </c>
      <c r="W38" s="471">
        <f>IF(W$1&gt;=$F38,HLOOKUP($C38,'1.7 Revenues by Licensor'!$B$6:$AO$29,W$2,FALSE)/1000000,"")</f>
        <v>2.4</v>
      </c>
    </row>
    <row r="39" spans="1:23">
      <c r="A39" s="481">
        <f t="shared" si="2"/>
        <v>37</v>
      </c>
      <c r="B39" s="482">
        <f>VLOOKUP($C39,'Table of Contents'!$B$25:$E$72,4,FALSE)</f>
        <v>5.4</v>
      </c>
      <c r="C39" s="483" t="s">
        <v>435</v>
      </c>
      <c r="D39" s="484" t="str">
        <f>VLOOKUP($C39,'Table of Contents'!$B$25:$E$72,2,FALSE)</f>
        <v>Researched</v>
      </c>
      <c r="E39" s="484" t="str">
        <f>VLOOKUP($C39,'Table of Contents'!$B$25:$E$72,3,FALSE)</f>
        <v>Private Corp</v>
      </c>
      <c r="F39" s="458">
        <v>2015</v>
      </c>
      <c r="G39" s="471" t="str">
        <f>IF(G$1&gt;=$F39,HLOOKUP($C39,'1.7 Revenues by Licensor'!$B$6:$AO$29,G$2,FALSE)/1000000,"")</f>
        <v/>
      </c>
      <c r="H39" s="471" t="str">
        <f>IF(H$1&gt;=$F39,HLOOKUP($C39,'1.7 Revenues by Licensor'!$B$6:$AO$29,H$2,FALSE)/1000000,"")</f>
        <v/>
      </c>
      <c r="I39" s="471" t="str">
        <f>IF(I$1&gt;=$F39,HLOOKUP($C39,'1.7 Revenues by Licensor'!$B$6:$AO$29,I$2,FALSE)/1000000,"")</f>
        <v/>
      </c>
      <c r="J39" s="471" t="str">
        <f>IF(J$1&gt;=$F39,HLOOKUP($C39,'1.7 Revenues by Licensor'!$B$6:$AO$29,J$2,FALSE)/1000000,"")</f>
        <v/>
      </c>
      <c r="K39" s="471" t="str">
        <f>IF(K$1&gt;=$F39,HLOOKUP($C39,'1.7 Revenues by Licensor'!$B$6:$AO$29,K$2,FALSE)/1000000,"")</f>
        <v/>
      </c>
      <c r="L39" s="471" t="str">
        <f>IF(L$1&gt;=$F39,HLOOKUP($C39,'1.7 Revenues by Licensor'!$B$6:$AO$29,L$2,FALSE)/1000000,"")</f>
        <v/>
      </c>
      <c r="M39" s="471" t="str">
        <f>IF(M$1&gt;=$F39,HLOOKUP($C39,'1.7 Revenues by Licensor'!$B$6:$AO$29,M$2,FALSE)/1000000,"")</f>
        <v/>
      </c>
      <c r="N39" s="471" t="str">
        <f>IF(N$1&gt;=$F39,HLOOKUP($C39,'1.7 Revenues by Licensor'!$B$6:$AO$29,N$2,FALSE)/1000000,"")</f>
        <v/>
      </c>
      <c r="O39" s="471" t="str">
        <f>IF(O$1&gt;=$F39,HLOOKUP($C39,'1.7 Revenues by Licensor'!$B$6:$AO$29,O$2,FALSE)/1000000,"")</f>
        <v/>
      </c>
      <c r="P39" s="471" t="str">
        <f>IF(P$1&gt;=$F39,HLOOKUP($C39,'1.7 Revenues by Licensor'!$B$6:$AO$29,P$2,FALSE)/1000000,"")</f>
        <v/>
      </c>
      <c r="Q39" s="471" t="str">
        <f>IF(Q$1&gt;=$F39,HLOOKUP($C39,'1.7 Revenues by Licensor'!$B$6:$AO$29,Q$2,FALSE)/1000000,"")</f>
        <v/>
      </c>
      <c r="R39" s="471" t="str">
        <f>IF(R$1&gt;=$F39,HLOOKUP($C39,'1.7 Revenues by Licensor'!$B$6:$AO$29,R$2,FALSE)/1000000,"")</f>
        <v/>
      </c>
      <c r="S39" s="471" t="str">
        <f>IF(S$1&gt;=$F39,HLOOKUP($C39,'1.7 Revenues by Licensor'!$B$6:$AO$29,S$2,FALSE)/1000000,"")</f>
        <v/>
      </c>
      <c r="T39" s="471" t="str">
        <f>IF(T$1&gt;=$F39,HLOOKUP($C39,'1.7 Revenues by Licensor'!$B$6:$AO$29,T$2,FALSE)/1000000,"")</f>
        <v/>
      </c>
      <c r="U39" s="471" t="str">
        <f>IF(U$1&gt;=$F39,HLOOKUP($C39,'1.7 Revenues by Licensor'!$B$6:$AO$29,U$2,FALSE)/1000000,"")</f>
        <v/>
      </c>
      <c r="V39" s="471">
        <f>IF(V$1&gt;=$F39,HLOOKUP($C39,'1.7 Revenues by Licensor'!$B$6:$AO$29,V$2,FALSE)/1000000,"")</f>
        <v>0</v>
      </c>
      <c r="W39" s="471">
        <f>IF(W$1&gt;=$F39,HLOOKUP($C39,'1.7 Revenues by Licensor'!$B$6:$AO$29,W$2,FALSE)/1000000,"")</f>
        <v>0</v>
      </c>
    </row>
    <row r="40" spans="1:23">
      <c r="A40" s="481">
        <f t="shared" si="2"/>
        <v>38</v>
      </c>
      <c r="B40" s="482">
        <f>VLOOKUP($C40,'Table of Contents'!$B$25:$E$72,4,FALSE)</f>
        <v>5.5</v>
      </c>
      <c r="C40" s="483" t="s">
        <v>462</v>
      </c>
      <c r="D40" s="484" t="str">
        <f>VLOOKUP($C40,'Table of Contents'!$B$25:$E$72,2,FALSE)</f>
        <v>Researched</v>
      </c>
      <c r="E40" s="484" t="str">
        <f>VLOOKUP($C40,'Table of Contents'!$B$25:$E$72,3,FALSE)</f>
        <v>Private Corp</v>
      </c>
      <c r="F40" s="458">
        <v>2000</v>
      </c>
      <c r="G40" s="471">
        <f>IF(G$1&gt;=$F40,HLOOKUP($C40,'1.7 Revenues by Licensor'!$B$6:$AO$29,G$2,FALSE)/1000000,"")</f>
        <v>42.9</v>
      </c>
      <c r="H40" s="471">
        <f>IF(H$1&gt;=$F40,HLOOKUP($C40,'1.7 Revenues by Licensor'!$B$6:$AO$29,H$2,FALSE)/1000000,"")</f>
        <v>42.9</v>
      </c>
      <c r="I40" s="471">
        <f>IF(I$1&gt;=$F40,HLOOKUP($C40,'1.7 Revenues by Licensor'!$B$6:$AO$29,I$2,FALSE)/1000000,"")</f>
        <v>42.9</v>
      </c>
      <c r="J40" s="471">
        <f>IF(J$1&gt;=$F40,HLOOKUP($C40,'1.7 Revenues by Licensor'!$B$6:$AO$29,J$2,FALSE)/1000000,"")</f>
        <v>42.9</v>
      </c>
      <c r="K40" s="471">
        <f>IF(K$1&gt;=$F40,HLOOKUP($C40,'1.7 Revenues by Licensor'!$B$6:$AO$29,K$2,FALSE)/1000000,"")</f>
        <v>42.9</v>
      </c>
      <c r="L40" s="471">
        <f>IF(L$1&gt;=$F40,HLOOKUP($C40,'1.7 Revenues by Licensor'!$B$6:$AO$29,L$2,FALSE)/1000000,"")</f>
        <v>42.9</v>
      </c>
      <c r="M40" s="471">
        <f>IF(M$1&gt;=$F40,HLOOKUP($C40,'1.7 Revenues by Licensor'!$B$6:$AO$29,M$2,FALSE)/1000000,"")</f>
        <v>42.9</v>
      </c>
      <c r="N40" s="471">
        <f>IF(N$1&gt;=$F40,HLOOKUP($C40,'1.7 Revenues by Licensor'!$B$6:$AO$29,N$2,FALSE)/1000000,"")</f>
        <v>42.9</v>
      </c>
      <c r="O40" s="471">
        <f>IF(O$1&gt;=$F40,HLOOKUP($C40,'1.7 Revenues by Licensor'!$B$6:$AO$29,O$2,FALSE)/1000000,"")</f>
        <v>42.9</v>
      </c>
      <c r="P40" s="471">
        <f>IF(P$1&gt;=$F40,HLOOKUP($C40,'1.7 Revenues by Licensor'!$B$6:$AO$29,P$2,FALSE)/1000000,"")</f>
        <v>42.9</v>
      </c>
      <c r="Q40" s="471">
        <f>IF(Q$1&gt;=$F40,HLOOKUP($C40,'1.7 Revenues by Licensor'!$B$6:$AO$29,Q$2,FALSE)/1000000,"")</f>
        <v>231</v>
      </c>
      <c r="R40" s="471">
        <f>IF(R$1&gt;=$F40,HLOOKUP($C40,'1.7 Revenues by Licensor'!$B$6:$AO$29,R$2,FALSE)/1000000,"")</f>
        <v>95</v>
      </c>
      <c r="S40" s="471">
        <f>IF(S$1&gt;=$F40,HLOOKUP($C40,'1.7 Revenues by Licensor'!$B$6:$AO$29,S$2,FALSE)/1000000,"")</f>
        <v>95</v>
      </c>
      <c r="T40" s="471">
        <f>IF(T$1&gt;=$F40,HLOOKUP($C40,'1.7 Revenues by Licensor'!$B$6:$AO$29,T$2,FALSE)/1000000,"")</f>
        <v>95</v>
      </c>
      <c r="U40" s="471">
        <f>IF(U$1&gt;=$F40,HLOOKUP($C40,'1.7 Revenues by Licensor'!$B$6:$AO$29,U$2,FALSE)/1000000,"")</f>
        <v>108.33333333333333</v>
      </c>
      <c r="V40" s="471">
        <f>IF(V$1&gt;=$F40,HLOOKUP($C40,'1.7 Revenues by Licensor'!$B$6:$AO$29,V$2,FALSE)/1000000,"")</f>
        <v>108.33333333333333</v>
      </c>
      <c r="W40" s="471">
        <f>IF(W$1&gt;=$F40,HLOOKUP($C40,'1.7 Revenues by Licensor'!$B$6:$AO$29,W$2,FALSE)/1000000,"")</f>
        <v>108.33333333333333</v>
      </c>
    </row>
    <row r="41" spans="1:23">
      <c r="A41" s="481">
        <f t="shared" si="2"/>
        <v>39</v>
      </c>
      <c r="B41" s="482">
        <f>VLOOKUP($C41,'Table of Contents'!$B$25:$E$72,4,FALSE)</f>
        <v>5.6</v>
      </c>
      <c r="C41" s="483" t="s">
        <v>33</v>
      </c>
      <c r="D41" s="484" t="str">
        <f>VLOOKUP($C41,'Table of Contents'!$B$25:$E$72,2,FALSE)</f>
        <v>Approximated</v>
      </c>
      <c r="E41" s="484" t="str">
        <f>VLOOKUP($C41,'Table of Contents'!$B$25:$E$72,3,FALSE)</f>
        <v>Private Corp</v>
      </c>
      <c r="F41" s="458">
        <v>2013</v>
      </c>
      <c r="G41" s="471" t="str">
        <f>IF(G$1&gt;=$F41,HLOOKUP($C41,'1.7 Revenues by Licensor'!$B$6:$AO$29,G$2,FALSE)/1000000,"")</f>
        <v/>
      </c>
      <c r="H41" s="471" t="str">
        <f>IF(H$1&gt;=$F41,HLOOKUP($C41,'1.7 Revenues by Licensor'!$B$6:$AO$29,H$2,FALSE)/1000000,"")</f>
        <v/>
      </c>
      <c r="I41" s="471" t="str">
        <f>IF(I$1&gt;=$F41,HLOOKUP($C41,'1.7 Revenues by Licensor'!$B$6:$AO$29,I$2,FALSE)/1000000,"")</f>
        <v/>
      </c>
      <c r="J41" s="471" t="str">
        <f>IF(J$1&gt;=$F41,HLOOKUP($C41,'1.7 Revenues by Licensor'!$B$6:$AO$29,J$2,FALSE)/1000000,"")</f>
        <v/>
      </c>
      <c r="K41" s="471" t="str">
        <f>IF(K$1&gt;=$F41,HLOOKUP($C41,'1.7 Revenues by Licensor'!$B$6:$AO$29,K$2,FALSE)/1000000,"")</f>
        <v/>
      </c>
      <c r="L41" s="471" t="str">
        <f>IF(L$1&gt;=$F41,HLOOKUP($C41,'1.7 Revenues by Licensor'!$B$6:$AO$29,L$2,FALSE)/1000000,"")</f>
        <v/>
      </c>
      <c r="M41" s="471" t="str">
        <f>IF(M$1&gt;=$F41,HLOOKUP($C41,'1.7 Revenues by Licensor'!$B$6:$AO$29,M$2,FALSE)/1000000,"")</f>
        <v/>
      </c>
      <c r="N41" s="471" t="str">
        <f>IF(N$1&gt;=$F41,HLOOKUP($C41,'1.7 Revenues by Licensor'!$B$6:$AO$29,N$2,FALSE)/1000000,"")</f>
        <v/>
      </c>
      <c r="O41" s="471" t="str">
        <f>IF(O$1&gt;=$F41,HLOOKUP($C41,'1.7 Revenues by Licensor'!$B$6:$AO$29,O$2,FALSE)/1000000,"")</f>
        <v/>
      </c>
      <c r="P41" s="471" t="str">
        <f>IF(P$1&gt;=$F41,HLOOKUP($C41,'1.7 Revenues by Licensor'!$B$6:$AO$29,P$2,FALSE)/1000000,"")</f>
        <v/>
      </c>
      <c r="Q41" s="471" t="str">
        <f>IF(Q$1&gt;=$F41,HLOOKUP($C41,'1.7 Revenues by Licensor'!$B$6:$AO$29,Q$2,FALSE)/1000000,"")</f>
        <v/>
      </c>
      <c r="R41" s="471" t="str">
        <f>IF(R$1&gt;=$F41,HLOOKUP($C41,'1.7 Revenues by Licensor'!$B$6:$AO$29,R$2,FALSE)/1000000,"")</f>
        <v/>
      </c>
      <c r="S41" s="471" t="str">
        <f>IF(S$1&gt;=$F41,HLOOKUP($C41,'1.7 Revenues by Licensor'!$B$6:$AO$29,S$2,FALSE)/1000000,"")</f>
        <v/>
      </c>
      <c r="T41" s="471">
        <f>IF(T$1&gt;=$F41,HLOOKUP($C41,'1.7 Revenues by Licensor'!$B$6:$AO$29,T$2,FALSE)/1000000,"")</f>
        <v>264.17399999999998</v>
      </c>
      <c r="U41" s="471">
        <f>IF(U$1&gt;=$F41,HLOOKUP($C41,'1.7 Revenues by Licensor'!$B$6:$AO$29,U$2,FALSE)/1000000,"")</f>
        <v>405.38799999999998</v>
      </c>
      <c r="V41" s="471">
        <f>IF(V$1&gt;=$F41,HLOOKUP($C41,'1.7 Revenues by Licensor'!$B$6:$AO$29,V$2,FALSE)/1000000,"")</f>
        <v>432.488</v>
      </c>
      <c r="W41" s="471">
        <f>IF(W$1&gt;=$F41,HLOOKUP($C41,'1.7 Revenues by Licensor'!$B$6:$AO$29,W$2,FALSE)/1000000,"")</f>
        <v>655.36</v>
      </c>
    </row>
    <row r="42" spans="1:23">
      <c r="A42" s="481">
        <f t="shared" si="2"/>
        <v>40</v>
      </c>
      <c r="B42" s="482">
        <f>VLOOKUP($C42,'Table of Contents'!$B$25:$E$72,4,FALSE)</f>
        <v>5.7</v>
      </c>
      <c r="C42" s="483" t="s">
        <v>1044</v>
      </c>
      <c r="D42" s="484" t="str">
        <f>VLOOKUP($C42,'Table of Contents'!$B$25:$E$72,2,FALSE)</f>
        <v>Researched</v>
      </c>
      <c r="E42" s="484" t="str">
        <f>VLOOKUP($C42,'Table of Contents'!$B$25:$E$72,3,FALSE)</f>
        <v>Private Corp</v>
      </c>
      <c r="F42" s="458">
        <v>2007</v>
      </c>
      <c r="G42" s="471" t="str">
        <f>IF(G$1&gt;=$F42,HLOOKUP($C42,'1.7 Revenues by Licensor'!$B$6:$AO$29,G$2,FALSE)/1000000,"")</f>
        <v/>
      </c>
      <c r="H42" s="471" t="str">
        <f>IF(H$1&gt;=$F42,HLOOKUP($C42,'1.7 Revenues by Licensor'!$B$6:$AO$29,H$2,FALSE)/1000000,"")</f>
        <v/>
      </c>
      <c r="I42" s="471" t="str">
        <f>IF(I$1&gt;=$F42,HLOOKUP($C42,'1.7 Revenues by Licensor'!$B$6:$AO$29,I$2,FALSE)/1000000,"")</f>
        <v/>
      </c>
      <c r="J42" s="471" t="str">
        <f>IF(J$1&gt;=$F42,HLOOKUP($C42,'1.7 Revenues by Licensor'!$B$6:$AO$29,J$2,FALSE)/1000000,"")</f>
        <v/>
      </c>
      <c r="K42" s="471" t="str">
        <f>IF(K$1&gt;=$F42,HLOOKUP($C42,'1.7 Revenues by Licensor'!$B$6:$AO$29,K$2,FALSE)/1000000,"")</f>
        <v/>
      </c>
      <c r="L42" s="471" t="str">
        <f>IF(L$1&gt;=$F42,HLOOKUP($C42,'1.7 Revenues by Licensor'!$B$6:$AO$29,L$2,FALSE)/1000000,"")</f>
        <v/>
      </c>
      <c r="M42" s="471" t="str">
        <f>IF(M$1&gt;=$F42,HLOOKUP($C42,'1.7 Revenues by Licensor'!$B$6:$AO$29,M$2,FALSE)/1000000,"")</f>
        <v/>
      </c>
      <c r="N42" s="471">
        <f>IF(N$1&gt;=$F42,HLOOKUP($C42,'1.7 Revenues by Licensor'!$B$6:$AO$29,N$2,FALSE)/1000000,"")</f>
        <v>16.829999999999998</v>
      </c>
      <c r="O42" s="471">
        <f>IF(O$1&gt;=$F42,HLOOKUP($C42,'1.7 Revenues by Licensor'!$B$6:$AO$29,O$2,FALSE)/1000000,"")</f>
        <v>18.710974128000004</v>
      </c>
      <c r="P42" s="471">
        <f>IF(P$1&gt;=$F42,HLOOKUP($C42,'1.7 Revenues by Licensor'!$B$6:$AO$29,P$2,FALSE)/1000000,"")</f>
        <v>23.466721047</v>
      </c>
      <c r="Q42" s="471">
        <f>IF(Q$1&gt;=$F42,HLOOKUP($C42,'1.7 Revenues by Licensor'!$B$6:$AO$29,Q$2,FALSE)/1000000,"")</f>
        <v>24.179395778999996</v>
      </c>
      <c r="R42" s="471">
        <f>IF(R$1&gt;=$F42,HLOOKUP($C42,'1.7 Revenues by Licensor'!$B$6:$AO$29,R$2,FALSE)/1000000,"")</f>
        <v>26.085479541000002</v>
      </c>
      <c r="S42" s="471">
        <f>IF(S$1&gt;=$F42,HLOOKUP($C42,'1.7 Revenues by Licensor'!$B$6:$AO$29,S$2,FALSE)/1000000,"")</f>
        <v>26.366920899000004</v>
      </c>
      <c r="T42" s="471">
        <f>IF(T$1&gt;=$F42,HLOOKUP($C42,'1.7 Revenues by Licensor'!$B$6:$AO$29,T$2,FALSE)/1000000,"")</f>
        <v>27.160224828</v>
      </c>
      <c r="U42" s="471">
        <f>IF(U$1&gt;=$F42,HLOOKUP($C42,'1.7 Revenues by Licensor'!$B$6:$AO$29,U$2,FALSE)/1000000,"")</f>
        <v>29.118317349000009</v>
      </c>
      <c r="V42" s="471">
        <f>IF(V$1&gt;=$F42,HLOOKUP($C42,'1.7 Revenues by Licensor'!$B$6:$AO$29,V$2,FALSE)/1000000,"")</f>
        <v>33.72769082100001</v>
      </c>
      <c r="W42" s="471">
        <f>IF(W$1&gt;=$F42,HLOOKUP($C42,'1.7 Revenues by Licensor'!$B$6:$AO$29,W$2,FALSE)/1000000,"")</f>
        <v>34.950012207</v>
      </c>
    </row>
    <row r="44" spans="1:23">
      <c r="A44" s="486"/>
      <c r="B44" s="487"/>
      <c r="C44" s="488"/>
      <c r="D44" s="488"/>
      <c r="E44" s="487" t="s">
        <v>30</v>
      </c>
      <c r="F44" s="486" t="s">
        <v>1399</v>
      </c>
      <c r="G44" s="486">
        <f>COUNT(G3:G42)</f>
        <v>2</v>
      </c>
      <c r="H44" s="486">
        <f t="shared" ref="H44:W44" si="3">COUNT(H3:H42)</f>
        <v>2</v>
      </c>
      <c r="I44" s="486">
        <f t="shared" si="3"/>
        <v>2</v>
      </c>
      <c r="J44" s="486">
        <f t="shared" si="3"/>
        <v>2</v>
      </c>
      <c r="K44" s="486">
        <f t="shared" si="3"/>
        <v>4</v>
      </c>
      <c r="L44" s="486">
        <f t="shared" si="3"/>
        <v>5</v>
      </c>
      <c r="M44" s="486">
        <f t="shared" si="3"/>
        <v>5</v>
      </c>
      <c r="N44" s="486">
        <f t="shared" si="3"/>
        <v>16</v>
      </c>
      <c r="O44" s="486">
        <f t="shared" si="3"/>
        <v>16</v>
      </c>
      <c r="P44" s="486">
        <f t="shared" si="3"/>
        <v>20</v>
      </c>
      <c r="Q44" s="486">
        <f t="shared" si="3"/>
        <v>21</v>
      </c>
      <c r="R44" s="486">
        <f t="shared" si="3"/>
        <v>21</v>
      </c>
      <c r="S44" s="486">
        <f t="shared" si="3"/>
        <v>22</v>
      </c>
      <c r="T44" s="486">
        <f t="shared" si="3"/>
        <v>26</v>
      </c>
      <c r="U44" s="486">
        <f t="shared" si="3"/>
        <v>26</v>
      </c>
      <c r="V44" s="486">
        <f t="shared" si="3"/>
        <v>37</v>
      </c>
      <c r="W44" s="486">
        <f t="shared" si="3"/>
        <v>39</v>
      </c>
    </row>
    <row r="45" spans="1:23">
      <c r="E45" s="480" t="s">
        <v>30</v>
      </c>
      <c r="F45" s="481" t="s">
        <v>1345</v>
      </c>
      <c r="G45" s="489">
        <f>SUM(G3:G42)</f>
        <v>747.9</v>
      </c>
      <c r="H45" s="489">
        <f t="shared" ref="H45:W45" si="4">SUM(H3:H42)</f>
        <v>824.9</v>
      </c>
      <c r="I45" s="489">
        <f t="shared" si="4"/>
        <v>889.9</v>
      </c>
      <c r="J45" s="489">
        <f t="shared" si="4"/>
        <v>1042.9000000000001</v>
      </c>
      <c r="K45" s="489">
        <f t="shared" si="4"/>
        <v>1816.6344244408076</v>
      </c>
      <c r="L45" s="489">
        <f t="shared" si="4"/>
        <v>2543.2276174005588</v>
      </c>
      <c r="M45" s="489">
        <f t="shared" si="4"/>
        <v>3701.7139046211933</v>
      </c>
      <c r="N45" s="489">
        <f t="shared" si="4"/>
        <v>4704.8230032264091</v>
      </c>
      <c r="O45" s="489">
        <f t="shared" si="4"/>
        <v>6002.6262220693907</v>
      </c>
      <c r="P45" s="489">
        <f t="shared" si="4"/>
        <v>6818.7503619463996</v>
      </c>
      <c r="Q45" s="489">
        <f t="shared" si="4"/>
        <v>7371.7448406332232</v>
      </c>
      <c r="R45" s="489">
        <f t="shared" si="4"/>
        <v>10424.74493551301</v>
      </c>
      <c r="S45" s="489">
        <f t="shared" si="4"/>
        <v>11398.255919116558</v>
      </c>
      <c r="T45" s="489">
        <f t="shared" si="4"/>
        <v>13299.948782885585</v>
      </c>
      <c r="U45" s="489">
        <f t="shared" si="4"/>
        <v>14363.971383474751</v>
      </c>
      <c r="V45" s="489">
        <f t="shared" si="4"/>
        <v>14506.236255266562</v>
      </c>
      <c r="W45" s="489">
        <f t="shared" si="4"/>
        <v>14191.62314825115</v>
      </c>
    </row>
  </sheetData>
  <phoneticPr fontId="16" type="noConversion"/>
  <pageMargins left="0.7" right="0.7" top="0.75" bottom="0.75" header="0.3" footer="0.3"/>
  <pageSetup scale="66" orientation="landscape" horizontalDpi="0" verticalDpi="0" r:id="rId1"/>
  <headerFooter>
    <oddHeader>&amp;LA New Dataset on Mobile Phone 
Patent License Royalties&amp;C&amp;"-,Negrita"Summary by Licensor
(revenues in $ millon)&amp;RAugust 2017 Update</oddHeader>
    <oddFooter>&amp;LAlexander Galetovic, Stephen Haber, _x000D_and Lew Zaretzki&amp;CPage &amp;P of &amp;N</oddFooter>
  </headerFooter>
  <extLst>
    <ext xmlns:mx="http://schemas.microsoft.com/office/mac/excel/2008/main" uri="{64002731-A6B0-56B0-2670-7721B7C09600}">
      <mx:PLV Mode="1"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31"/>
  <sheetViews>
    <sheetView showGridLines="0" topLeftCell="V1" zoomScale="150" zoomScaleNormal="150" zoomScalePageLayoutView="150" workbookViewId="0">
      <selection activeCell="AG19" sqref="AG19"/>
    </sheetView>
  </sheetViews>
  <sheetFormatPr baseColWidth="10" defaultColWidth="10.796875" defaultRowHeight="13.8"/>
  <cols>
    <col min="1" max="1" width="8.296875" style="24" customWidth="1"/>
    <col min="2" max="3" width="11.5" style="24" customWidth="1"/>
    <col min="4" max="4" width="12.5" style="24" customWidth="1"/>
    <col min="5" max="5" width="10.19921875" style="24" customWidth="1"/>
    <col min="6" max="6" width="2.296875" style="24" customWidth="1"/>
    <col min="7" max="7" width="11" style="24" customWidth="1"/>
    <col min="8" max="8" width="11.296875" style="24" customWidth="1"/>
    <col min="9" max="9" width="11.69921875" style="24" customWidth="1"/>
    <col min="10" max="10" width="10.19921875" style="24" customWidth="1"/>
    <col min="11" max="11" width="11.69921875" style="24" customWidth="1"/>
    <col min="12" max="14" width="16.19921875" style="24" customWidth="1"/>
    <col min="15" max="15" width="11.19921875" style="24" customWidth="1"/>
    <col min="16" max="16" width="10" style="24" customWidth="1"/>
    <col min="17" max="17" width="1.796875" style="24" customWidth="1"/>
    <col min="18" max="18" width="10.296875" style="24" customWidth="1"/>
    <col min="19" max="19" width="8.69921875" style="24" customWidth="1"/>
    <col min="20" max="20" width="13.5" style="24" bestFit="1" customWidth="1"/>
    <col min="21" max="21" width="12.19921875" style="24" customWidth="1"/>
    <col min="22" max="22" width="8.296875" style="24" customWidth="1"/>
    <col min="23" max="24" width="11.796875" style="24" customWidth="1"/>
    <col min="25" max="25" width="7.5" style="24" customWidth="1"/>
    <col min="26" max="26" width="11.69921875" style="24" customWidth="1"/>
    <col min="27" max="27" width="2.296875" style="24" customWidth="1"/>
    <col min="28" max="28" width="11.796875" style="24" customWidth="1"/>
    <col min="29" max="29" width="7.5" style="24" customWidth="1"/>
    <col min="30" max="30" width="11.69921875" style="24" customWidth="1"/>
    <col min="31" max="31" width="10.796875" style="24"/>
    <col min="32" max="32" width="13.296875" style="24" customWidth="1"/>
    <col min="33" max="33" width="15" style="24" customWidth="1"/>
    <col min="34" max="34" width="18.5" style="24" customWidth="1"/>
    <col min="35" max="35" width="16.296875" style="24" customWidth="1"/>
    <col min="36" max="36" width="21.5" style="24" customWidth="1"/>
    <col min="37" max="37" width="23.296875" style="24" customWidth="1"/>
    <col min="38" max="38" width="28.19921875" style="24" customWidth="1"/>
    <col min="39" max="39" width="19.19921875" style="24" customWidth="1"/>
    <col min="40" max="40" width="17.5" style="24" customWidth="1"/>
    <col min="41" max="41" width="8.296875" style="24" customWidth="1"/>
    <col min="42" max="42" width="28.5" style="24" customWidth="1"/>
    <col min="43" max="43" width="23.19921875" style="24" customWidth="1"/>
    <col min="44" max="44" width="28.5" style="24" customWidth="1"/>
    <col min="45" max="45" width="24.69921875" style="24" customWidth="1"/>
    <col min="46" max="46" width="26.5" style="24" customWidth="1"/>
    <col min="47" max="47" width="6.5" style="24" customWidth="1"/>
    <col min="48" max="48" width="28.5" style="24" customWidth="1"/>
    <col min="49" max="16384" width="10.796875" style="24"/>
  </cols>
  <sheetData>
    <row r="2" spans="1:32">
      <c r="A2" s="197" t="s">
        <v>770</v>
      </c>
    </row>
    <row r="3" spans="1:32" ht="18">
      <c r="A3" s="53" t="str">
        <f>CONCATENATE(VLOOKUP($A$2,'Table of Contents'!$B:$E,4,FALSE)," ",$A$2)</f>
        <v>1.8 Device Sales</v>
      </c>
    </row>
    <row r="6" spans="1:32">
      <c r="A6" s="24" t="s">
        <v>22</v>
      </c>
    </row>
    <row r="7" spans="1:32" ht="14.4" thickBot="1"/>
    <row r="8" spans="1:32" ht="14.4" thickBot="1">
      <c r="B8" s="542" t="s">
        <v>676</v>
      </c>
      <c r="C8" s="543"/>
      <c r="D8" s="543"/>
      <c r="E8" s="544"/>
      <c r="G8" s="542" t="s">
        <v>685</v>
      </c>
      <c r="H8" s="543"/>
      <c r="I8" s="543"/>
      <c r="J8" s="543"/>
      <c r="K8" s="543"/>
      <c r="L8" s="543"/>
      <c r="M8" s="543"/>
      <c r="N8" s="543"/>
      <c r="O8" s="543"/>
      <c r="P8" s="544"/>
      <c r="Q8" s="25"/>
      <c r="R8" s="542" t="s">
        <v>684</v>
      </c>
      <c r="S8" s="545"/>
      <c r="T8" s="545"/>
      <c r="U8" s="545"/>
      <c r="V8" s="545"/>
      <c r="W8" s="545"/>
      <c r="X8" s="545"/>
      <c r="Y8" s="545"/>
      <c r="Z8" s="546"/>
      <c r="AB8" s="542" t="s">
        <v>683</v>
      </c>
      <c r="AC8" s="543"/>
      <c r="AD8" s="544"/>
      <c r="AF8" s="24" t="s">
        <v>7</v>
      </c>
    </row>
    <row r="9" spans="1:32" ht="41.4">
      <c r="A9" s="126" t="s">
        <v>677</v>
      </c>
      <c r="B9" s="126" t="s">
        <v>84</v>
      </c>
      <c r="C9" s="126" t="s">
        <v>678</v>
      </c>
      <c r="D9" s="136" t="s">
        <v>85</v>
      </c>
      <c r="E9" s="126" t="s">
        <v>686</v>
      </c>
      <c r="F9" s="125"/>
      <c r="G9" s="126" t="s">
        <v>84</v>
      </c>
      <c r="H9" s="126" t="s">
        <v>678</v>
      </c>
      <c r="I9" s="136" t="s">
        <v>85</v>
      </c>
      <c r="J9" s="126" t="s">
        <v>686</v>
      </c>
      <c r="K9" s="126" t="s">
        <v>691</v>
      </c>
      <c r="L9" s="126" t="s">
        <v>687</v>
      </c>
      <c r="M9" s="126" t="s">
        <v>87</v>
      </c>
      <c r="N9" s="136" t="s">
        <v>88</v>
      </c>
      <c r="O9" s="126" t="s">
        <v>86</v>
      </c>
      <c r="P9" s="126" t="s">
        <v>89</v>
      </c>
      <c r="Q9" s="125"/>
      <c r="R9" s="126" t="s">
        <v>679</v>
      </c>
      <c r="S9" s="126" t="s">
        <v>6</v>
      </c>
      <c r="T9" s="126" t="s">
        <v>688</v>
      </c>
      <c r="U9" s="126" t="s">
        <v>90</v>
      </c>
      <c r="V9" s="126" t="s">
        <v>682</v>
      </c>
      <c r="W9" s="126" t="s">
        <v>680</v>
      </c>
      <c r="X9" s="126" t="s">
        <v>91</v>
      </c>
      <c r="Y9" s="126" t="s">
        <v>681</v>
      </c>
      <c r="Z9" s="126" t="s">
        <v>92</v>
      </c>
      <c r="AA9" s="126"/>
      <c r="AB9" s="126" t="s">
        <v>93</v>
      </c>
      <c r="AC9" s="126" t="s">
        <v>6</v>
      </c>
      <c r="AD9" s="126" t="s">
        <v>94</v>
      </c>
      <c r="AE9" s="24" t="s">
        <v>7</v>
      </c>
      <c r="AF9" s="24" t="s">
        <v>7</v>
      </c>
    </row>
    <row r="10" spans="1:32">
      <c r="A10" s="124">
        <v>2007</v>
      </c>
      <c r="B10" s="22">
        <f>'1.9 OEM Sales'!T31</f>
        <v>122320000</v>
      </c>
      <c r="C10" s="22">
        <f>D10-B10</f>
        <v>1030519800</v>
      </c>
      <c r="D10" s="132">
        <f>'1.9 OEM Sales'!Y5+'1.9 OEM Sales'!U31</f>
        <v>1152839800</v>
      </c>
      <c r="E10" s="127">
        <f>B10/D10</f>
        <v>0.10610320705444069</v>
      </c>
      <c r="F10" s="22"/>
      <c r="G10" s="26">
        <f>E34+'1.9 OEM Sales'!K98</f>
        <v>123930000</v>
      </c>
      <c r="H10" s="26">
        <f>'1.9 OEM Sales'!K95</f>
        <v>1018150000</v>
      </c>
      <c r="I10" s="133">
        <f>'1.9 OEM Sales'!K101</f>
        <v>1142080000</v>
      </c>
      <c r="J10" s="128">
        <f>G10/I10</f>
        <v>0.10851253852619781</v>
      </c>
      <c r="K10" s="128">
        <f>I10/D10</f>
        <v>0.99066669974440502</v>
      </c>
      <c r="L10" s="130">
        <f>'1.9 OEM Sales'!K99*1000000</f>
        <v>52390000000</v>
      </c>
      <c r="M10" s="130">
        <f>'1.9 OEM Sales'!K96*1000000</f>
        <v>167080000000</v>
      </c>
      <c r="N10" s="134">
        <f>'1.9 OEM Sales'!K102*1000000</f>
        <v>219480000000</v>
      </c>
      <c r="O10" s="129">
        <f>'1.9 OEM Sales'!K99</f>
        <v>52390</v>
      </c>
      <c r="P10" s="129">
        <f>'1.9 OEM Sales'!K97</f>
        <v>164.10155674507686</v>
      </c>
      <c r="Q10" s="28"/>
      <c r="R10" s="22"/>
      <c r="U10" s="26"/>
      <c r="V10" s="26"/>
      <c r="W10" s="27" t="s">
        <v>7</v>
      </c>
      <c r="X10" s="27"/>
      <c r="Y10" s="27" t="s">
        <v>7</v>
      </c>
      <c r="Z10" s="27"/>
      <c r="AF10" s="24" t="s">
        <v>7</v>
      </c>
    </row>
    <row r="11" spans="1:32">
      <c r="A11" s="124">
        <f t="shared" ref="A11:A19" si="0">A10+1</f>
        <v>2008</v>
      </c>
      <c r="B11" s="22">
        <f>'1.9 OEM Sales'!R31</f>
        <v>139287900</v>
      </c>
      <c r="C11" s="22">
        <f t="shared" ref="C11:C18" si="1">D11-B11</f>
        <v>1082965000</v>
      </c>
      <c r="D11" s="132">
        <f>'1.9 OEM Sales'!S32</f>
        <v>1222252900</v>
      </c>
      <c r="E11" s="127">
        <f t="shared" ref="E11:E18" si="2">B11/D11</f>
        <v>0.11395996687755865</v>
      </c>
      <c r="F11" s="22"/>
      <c r="G11" s="26">
        <f>'1.9 OEM Sales'!J98</f>
        <v>150770000</v>
      </c>
      <c r="H11" s="26">
        <f>'1.9 OEM Sales'!J95</f>
        <v>1163950000</v>
      </c>
      <c r="I11" s="133">
        <f>'1.9 OEM Sales'!J101</f>
        <v>1314720000</v>
      </c>
      <c r="J11" s="128">
        <f t="shared" ref="J11:J18" si="3">G11/I11</f>
        <v>0.11467841061214555</v>
      </c>
      <c r="K11" s="128">
        <f t="shared" ref="K11:K18" si="4">I11/D11</f>
        <v>1.0756530011096721</v>
      </c>
      <c r="L11" s="130">
        <f>'1.9 OEM Sales'!J99*1000000</f>
        <v>64840000000</v>
      </c>
      <c r="M11" s="130">
        <f>'1.9 OEM Sales'!J96*1000000</f>
        <v>180670000000</v>
      </c>
      <c r="N11" s="134">
        <f>'1.9 OEM Sales'!J102*1000000</f>
        <v>245510000000</v>
      </c>
      <c r="O11" s="129">
        <f>'1.9 OEM Sales'!J99</f>
        <v>64840</v>
      </c>
      <c r="P11" s="129">
        <f>'1.9 OEM Sales'!J97</f>
        <v>155.22144422011255</v>
      </c>
      <c r="Q11" s="28"/>
      <c r="R11" s="22"/>
      <c r="U11" s="26"/>
      <c r="V11" s="26"/>
      <c r="W11" s="27" t="s">
        <v>7</v>
      </c>
      <c r="X11" s="27"/>
      <c r="Y11" s="27" t="s">
        <v>7</v>
      </c>
      <c r="Z11" s="27"/>
      <c r="AF11" s="24" t="s">
        <v>7</v>
      </c>
    </row>
    <row r="12" spans="1:32">
      <c r="A12" s="124">
        <f t="shared" si="0"/>
        <v>2009</v>
      </c>
      <c r="B12" s="22">
        <f>'1.9 OEM Sales'!P31</f>
        <v>172376100</v>
      </c>
      <c r="C12" s="22">
        <f t="shared" si="1"/>
        <v>1038863500</v>
      </c>
      <c r="D12" s="132">
        <f>'1.9 OEM Sales'!Q32</f>
        <v>1211239600</v>
      </c>
      <c r="E12" s="127">
        <f t="shared" si="2"/>
        <v>0.14231379159003718</v>
      </c>
      <c r="F12" s="22"/>
      <c r="G12" s="26">
        <f>'1.9 OEM Sales'!I98</f>
        <v>173350000</v>
      </c>
      <c r="H12" s="26">
        <f>'1.9 OEM Sales'!I95</f>
        <v>1167980000</v>
      </c>
      <c r="I12" s="133">
        <f>'1.9 OEM Sales'!I101</f>
        <v>1341330000</v>
      </c>
      <c r="J12" s="128">
        <f t="shared" si="3"/>
        <v>0.12923739870128903</v>
      </c>
      <c r="K12" s="128">
        <f t="shared" si="4"/>
        <v>1.1074026972037572</v>
      </c>
      <c r="L12" s="130">
        <f>'1.9 OEM Sales'!I99*1000000</f>
        <v>73120000000</v>
      </c>
      <c r="M12" s="130">
        <f>'1.9 OEM Sales'!I96*1000000</f>
        <v>144620000000</v>
      </c>
      <c r="N12" s="134">
        <f>'1.9 OEM Sales'!I102*1000000</f>
        <v>217740000000</v>
      </c>
      <c r="O12" s="129">
        <f>'1.9 OEM Sales'!I99</f>
        <v>73120</v>
      </c>
      <c r="P12" s="129">
        <f>'1.9 OEM Sales'!I97</f>
        <v>123.82061336666723</v>
      </c>
      <c r="Q12" s="28"/>
      <c r="R12" s="23"/>
      <c r="U12" s="26"/>
      <c r="V12" s="26"/>
      <c r="W12" s="27" t="s">
        <v>7</v>
      </c>
      <c r="X12" s="22">
        <f>173.5*1000000</f>
        <v>173500000</v>
      </c>
      <c r="Y12" s="27" t="s">
        <v>31</v>
      </c>
      <c r="Z12" s="128">
        <f>X12/G12</f>
        <v>1.0008653014133257</v>
      </c>
      <c r="AF12" s="24" t="s">
        <v>7</v>
      </c>
    </row>
    <row r="13" spans="1:32">
      <c r="A13" s="124">
        <f t="shared" si="0"/>
        <v>2010</v>
      </c>
      <c r="B13" s="22">
        <f>'1.9 OEM Sales'!M5+'1.9 OEM Sales'!N31</f>
        <v>296646600</v>
      </c>
      <c r="C13" s="22">
        <f t="shared" si="1"/>
        <v>1300155800</v>
      </c>
      <c r="D13" s="132">
        <f>'1.9 OEM Sales'!M5+'1.9 OEM Sales'!O32</f>
        <v>1596802400</v>
      </c>
      <c r="E13" s="127">
        <f t="shared" si="2"/>
        <v>0.18577539713116664</v>
      </c>
      <c r="F13" s="22"/>
      <c r="G13" s="26">
        <f>'1.9 OEM Sales'!H98</f>
        <v>304680000</v>
      </c>
      <c r="H13" s="26">
        <f>'1.9 OEM Sales'!H95</f>
        <v>1290130000</v>
      </c>
      <c r="I13" s="133">
        <f>'1.9 OEM Sales'!H101</f>
        <v>1594812950.6799998</v>
      </c>
      <c r="J13" s="128">
        <f t="shared" si="3"/>
        <v>0.19104434778391402</v>
      </c>
      <c r="K13" s="128">
        <f t="shared" si="4"/>
        <v>0.99875410425234823</v>
      </c>
      <c r="L13" s="130">
        <f>'1.9 OEM Sales'!H99*1000000</f>
        <v>130190000000</v>
      </c>
      <c r="M13" s="130">
        <f>'1.9 OEM Sales'!H96*1000000</f>
        <v>129270000000</v>
      </c>
      <c r="N13" s="134">
        <f>'1.9 OEM Sales'!H102*1000000</f>
        <v>259456749820.2442</v>
      </c>
      <c r="O13" s="129">
        <f>'1.9 OEM Sales'!H100</f>
        <v>427.30077458316924</v>
      </c>
      <c r="P13" s="129">
        <f>'1.9 OEM Sales'!H97</f>
        <v>100.19920473130615</v>
      </c>
      <c r="Q13" s="28"/>
      <c r="R13" s="23"/>
      <c r="U13" s="26"/>
      <c r="V13" s="26"/>
      <c r="W13" s="27" t="s">
        <v>7</v>
      </c>
      <c r="X13" s="22">
        <f>304.7*1000000</f>
        <v>304700000</v>
      </c>
      <c r="Y13" s="27" t="s">
        <v>31</v>
      </c>
      <c r="Z13" s="128">
        <f t="shared" ref="Z13:Z18" si="5">X13/G13</f>
        <v>1.0000656426414598</v>
      </c>
      <c r="AB13" s="135">
        <v>440</v>
      </c>
      <c r="AC13" s="24" t="s">
        <v>64</v>
      </c>
      <c r="AD13" s="128">
        <f>AB13/O13</f>
        <v>1.0297196405253859</v>
      </c>
      <c r="AF13" s="24" t="s">
        <v>7</v>
      </c>
    </row>
    <row r="14" spans="1:32">
      <c r="A14" s="124">
        <f t="shared" si="0"/>
        <v>2011</v>
      </c>
      <c r="B14" s="29">
        <f>'1.9 OEM Sales'!K5+'1.9 OEM Sales'!L31</f>
        <v>472000000</v>
      </c>
      <c r="C14" s="22">
        <f t="shared" si="1"/>
        <v>1303712000</v>
      </c>
      <c r="D14" s="132">
        <f>'1.9 OEM Sales'!L5+'1.9 OEM Sales'!M32</f>
        <v>1775712000</v>
      </c>
      <c r="E14" s="127">
        <f t="shared" si="2"/>
        <v>0.26580886990683172</v>
      </c>
      <c r="F14" s="22"/>
      <c r="G14" s="26">
        <f>'1.9 OEM Sales'!G98</f>
        <v>494410000</v>
      </c>
      <c r="H14" s="26">
        <f>'1.9 OEM Sales'!G95</f>
        <v>1223970000</v>
      </c>
      <c r="I14" s="133">
        <f>'1.9 OEM Sales'!G101</f>
        <v>1718385211.6806002</v>
      </c>
      <c r="J14" s="128">
        <f t="shared" si="3"/>
        <v>0.28771779263420305</v>
      </c>
      <c r="K14" s="128">
        <f t="shared" si="4"/>
        <v>0.96771616775727154</v>
      </c>
      <c r="L14" s="130">
        <f>'1.9 OEM Sales'!G99*1000000</f>
        <v>210060000000</v>
      </c>
      <c r="M14" s="130">
        <f>'1.9 OEM Sales'!G96*1000000</f>
        <v>94890000000</v>
      </c>
      <c r="N14" s="134">
        <f>'1.9 OEM Sales'!G102*1000000</f>
        <v>304945723765.51794</v>
      </c>
      <c r="O14" s="129">
        <f>'1.9 OEM Sales'!G100</f>
        <v>424.87004712687849</v>
      </c>
      <c r="P14" s="129">
        <f>'1.9 OEM Sales'!G97</f>
        <v>77.526409961028463</v>
      </c>
      <c r="Q14" s="28"/>
      <c r="R14" s="23"/>
      <c r="U14" s="26"/>
      <c r="V14" s="26"/>
      <c r="W14" s="27" t="s">
        <v>7</v>
      </c>
      <c r="X14" s="22">
        <v>491400000</v>
      </c>
      <c r="Y14" s="27" t="s">
        <v>31</v>
      </c>
      <c r="Z14" s="128">
        <f t="shared" si="5"/>
        <v>0.99391193543819911</v>
      </c>
      <c r="AB14" s="135">
        <v>420</v>
      </c>
      <c r="AC14" s="24" t="s">
        <v>64</v>
      </c>
      <c r="AD14" s="128">
        <f t="shared" ref="AD14:AD18" si="6">AB14/O14</f>
        <v>0.98853756069694376</v>
      </c>
      <c r="AF14" s="24" t="s">
        <v>7</v>
      </c>
    </row>
    <row r="15" spans="1:32">
      <c r="A15" s="124">
        <f t="shared" si="0"/>
        <v>2012</v>
      </c>
      <c r="B15" s="22">
        <f>'1.9 OEM Sales'!J31</f>
        <v>680108200</v>
      </c>
      <c r="C15" s="22">
        <f t="shared" si="1"/>
        <v>1066067400</v>
      </c>
      <c r="D15" s="132">
        <f>'1.9 OEM Sales'!I5+'1.9 OEM Sales'!K32</f>
        <v>1746175600</v>
      </c>
      <c r="E15" s="127">
        <f t="shared" si="2"/>
        <v>0.38948442527773264</v>
      </c>
      <c r="F15" s="22"/>
      <c r="G15" s="26">
        <f>'1.9 OEM Sales'!F98</f>
        <v>726700000</v>
      </c>
      <c r="H15" s="26">
        <f>'1.9 OEM Sales'!F95</f>
        <v>1016820000</v>
      </c>
      <c r="I15" s="133">
        <f>'1.9 OEM Sales'!F101</f>
        <v>1743524629.0180001</v>
      </c>
      <c r="J15" s="128">
        <f t="shared" si="3"/>
        <v>0.41679938895345398</v>
      </c>
      <c r="K15" s="128">
        <f t="shared" si="4"/>
        <v>0.99848184169908238</v>
      </c>
      <c r="L15" s="130">
        <f>'1.9 OEM Sales'!F99*1000000</f>
        <v>280600000000</v>
      </c>
      <c r="M15" s="130">
        <f>'1.9 OEM Sales'!F96*1000000</f>
        <v>59510000000</v>
      </c>
      <c r="N15" s="134">
        <f>'1.9 OEM Sales'!F102*1000000</f>
        <v>340108508442.63092</v>
      </c>
      <c r="O15" s="129">
        <f>'1.9 OEM Sales'!F100</f>
        <v>386.12907664786019</v>
      </c>
      <c r="P15" s="129">
        <f>'1.9 OEM Sales'!F97</f>
        <v>58.525599417792726</v>
      </c>
      <c r="Q15" s="28"/>
      <c r="R15" s="131">
        <v>387</v>
      </c>
      <c r="S15" s="24" t="s">
        <v>65</v>
      </c>
      <c r="T15" s="128">
        <f>R15/O15</f>
        <v>1.0022555238774056</v>
      </c>
      <c r="U15" s="26">
        <f>'1.9 OEM Sales'!J54*1000000</f>
        <v>725300000</v>
      </c>
      <c r="V15" s="30" t="s">
        <v>46</v>
      </c>
      <c r="W15" s="128">
        <f t="shared" ref="W15:W17" si="7">U15/G15</f>
        <v>0.99807348286775832</v>
      </c>
      <c r="X15" s="22">
        <f>725.3*1000000</f>
        <v>725300000</v>
      </c>
      <c r="Y15" s="27" t="s">
        <v>31</v>
      </c>
      <c r="Z15" s="128">
        <f t="shared" si="5"/>
        <v>0.99807348286775832</v>
      </c>
      <c r="AA15" s="27"/>
      <c r="AB15" s="135">
        <v>381</v>
      </c>
      <c r="AC15" s="24" t="s">
        <v>64</v>
      </c>
      <c r="AD15" s="128">
        <f t="shared" si="6"/>
        <v>0.98671667854597289</v>
      </c>
    </row>
    <row r="16" spans="1:32">
      <c r="A16" s="124">
        <f t="shared" si="0"/>
        <v>2013</v>
      </c>
      <c r="B16" s="22">
        <f>'1.9 OEM Sales'!H31</f>
        <v>967775800</v>
      </c>
      <c r="C16" s="22">
        <f t="shared" si="1"/>
        <v>839188900</v>
      </c>
      <c r="D16" s="132">
        <f>'1.9 OEM Sales'!G5+'1.9 OEM Sales'!I32</f>
        <v>1806964700</v>
      </c>
      <c r="E16" s="127">
        <f t="shared" si="2"/>
        <v>0.53558091090545379</v>
      </c>
      <c r="F16" s="22"/>
      <c r="G16" s="26">
        <f>'1.9 OEM Sales'!E98</f>
        <v>1018740000</v>
      </c>
      <c r="H16" s="26">
        <f>'1.9 OEM Sales'!E95</f>
        <v>827910000</v>
      </c>
      <c r="I16" s="133">
        <f>'1.9 OEM Sales'!E101</f>
        <v>1846652664.28</v>
      </c>
      <c r="J16" s="128">
        <f t="shared" si="3"/>
        <v>0.55166844296472028</v>
      </c>
      <c r="K16" s="128">
        <f t="shared" si="4"/>
        <v>1.0219638846735632</v>
      </c>
      <c r="L16" s="130">
        <f>'1.9 OEM Sales'!E99*1000000</f>
        <v>340490000000</v>
      </c>
      <c r="M16" s="130">
        <f>'1.9 OEM Sales'!E96*1000000</f>
        <v>38600000000</v>
      </c>
      <c r="N16" s="134">
        <f>'1.9 OEM Sales'!E102*1000000</f>
        <v>376851619946.75177</v>
      </c>
      <c r="O16" s="129">
        <f>'1.9 OEM Sales'!E100</f>
        <v>334.22659363527492</v>
      </c>
      <c r="P16" s="129" t="e">
        <f>'1.9 OEM Sales'!#REF!+'1.9 OEM Sales'!E97</f>
        <v>#REF!</v>
      </c>
      <c r="Q16" s="28"/>
      <c r="R16" s="131">
        <v>335</v>
      </c>
      <c r="S16" s="24" t="s">
        <v>65</v>
      </c>
      <c r="T16" s="128">
        <f t="shared" ref="T16:T18" si="8">R16/O16</f>
        <v>1.0023140180328352</v>
      </c>
      <c r="U16" s="26">
        <f>'1.9 OEM Sales'!H54*1000000</f>
        <v>1004199999.9999999</v>
      </c>
      <c r="V16" s="30" t="s">
        <v>46</v>
      </c>
      <c r="W16" s="128">
        <f t="shared" si="7"/>
        <v>0.98572746726348226</v>
      </c>
      <c r="X16" s="22">
        <f>1018.7*1000000</f>
        <v>1018700000</v>
      </c>
      <c r="Y16" s="27" t="s">
        <v>31</v>
      </c>
      <c r="Z16" s="128">
        <f t="shared" si="5"/>
        <v>0.99996073581090361</v>
      </c>
      <c r="AA16" s="27"/>
      <c r="AB16" s="135">
        <v>333</v>
      </c>
      <c r="AC16" s="24" t="s">
        <v>64</v>
      </c>
      <c r="AD16" s="128">
        <f t="shared" si="6"/>
        <v>0.99633005374607186</v>
      </c>
    </row>
    <row r="17" spans="1:30">
      <c r="A17" s="124">
        <f t="shared" si="0"/>
        <v>2014</v>
      </c>
      <c r="B17" s="22">
        <f>'1.9 OEM Sales'!F31</f>
        <v>1244739800</v>
      </c>
      <c r="C17" s="22">
        <f t="shared" si="1"/>
        <v>634228200</v>
      </c>
      <c r="D17" s="132">
        <f>'1.9 OEM Sales'!E5+'1.9 OEM Sales'!G32</f>
        <v>1878968000</v>
      </c>
      <c r="E17" s="127">
        <f t="shared" si="2"/>
        <v>0.66245928616133964</v>
      </c>
      <c r="F17" s="22"/>
      <c r="G17" s="26">
        <f>'1.9 OEM Sales'!D98</f>
        <v>1301690000</v>
      </c>
      <c r="H17" s="26">
        <f>'1.9 OEM Sales'!D95</f>
        <v>664900000</v>
      </c>
      <c r="I17" s="133">
        <f>'1.9 OEM Sales'!D101</f>
        <v>1961878328.1719999</v>
      </c>
      <c r="J17" s="128">
        <f t="shared" si="3"/>
        <v>0.66349170654882705</v>
      </c>
      <c r="K17" s="128">
        <f t="shared" si="4"/>
        <v>1.0441254604506303</v>
      </c>
      <c r="L17" s="130">
        <f>'1.9 OEM Sales'!D99*1000000</f>
        <v>392880000000</v>
      </c>
      <c r="M17" s="130">
        <f>'1.9 OEM Sales'!D96*1000000</f>
        <v>22780000000</v>
      </c>
      <c r="N17" s="134">
        <f>'1.9 OEM Sales'!D102*1000000</f>
        <v>412093068399.89282</v>
      </c>
      <c r="O17" s="129">
        <f>'1.9 OEM Sales'!D100</f>
        <v>301.82301469627947</v>
      </c>
      <c r="P17" s="129">
        <f>'1.9 OEM Sales'!D97</f>
        <v>34.260791096405477</v>
      </c>
      <c r="Q17" s="28"/>
      <c r="R17" s="131">
        <v>308</v>
      </c>
      <c r="S17" s="24" t="s">
        <v>65</v>
      </c>
      <c r="T17" s="128">
        <f t="shared" si="8"/>
        <v>1.0204655874567297</v>
      </c>
      <c r="U17" s="26">
        <f>'1.9 OEM Sales'!F54*1000000</f>
        <v>1301700000</v>
      </c>
      <c r="V17" s="30" t="s">
        <v>63</v>
      </c>
      <c r="W17" s="128">
        <f t="shared" si="7"/>
        <v>1.0000076823206754</v>
      </c>
      <c r="X17" s="22">
        <f>1301.7*1000000</f>
        <v>1301700000</v>
      </c>
      <c r="Y17" s="27" t="s">
        <v>31</v>
      </c>
      <c r="Z17" s="128">
        <f t="shared" si="5"/>
        <v>1.0000076823206754</v>
      </c>
      <c r="AA17" s="27"/>
      <c r="AB17" s="135">
        <v>310</v>
      </c>
      <c r="AC17" s="24" t="s">
        <v>64</v>
      </c>
      <c r="AD17" s="128">
        <f t="shared" si="6"/>
        <v>1.02709198737528</v>
      </c>
    </row>
    <row r="18" spans="1:30">
      <c r="A18" s="124">
        <f t="shared" si="0"/>
        <v>2015</v>
      </c>
      <c r="B18" s="22">
        <f>'1.9 OEM Sales'!D31</f>
        <v>1423900300</v>
      </c>
      <c r="C18" s="22">
        <f t="shared" si="1"/>
        <v>493099700</v>
      </c>
      <c r="D18" s="132">
        <f>'1.9 OEM Sales'!E32</f>
        <v>1917000000</v>
      </c>
      <c r="E18" s="127">
        <f t="shared" si="2"/>
        <v>0.74277532603025564</v>
      </c>
      <c r="F18" s="22"/>
      <c r="G18" s="26">
        <f>'1.9 OEM Sales'!C98</f>
        <v>1437250000</v>
      </c>
      <c r="H18" s="26">
        <f>'1.9 OEM Sales'!C95</f>
        <v>542480000</v>
      </c>
      <c r="I18" s="133">
        <f>'1.9 OEM Sales'!C101</f>
        <v>1970215201.6177223</v>
      </c>
      <c r="J18" s="128">
        <f t="shared" si="3"/>
        <v>0.72948883899580597</v>
      </c>
      <c r="K18" s="128">
        <f t="shared" si="4"/>
        <v>1.0277596252570278</v>
      </c>
      <c r="L18" s="130">
        <f>'1.9 OEM Sales'!C99*1000000</f>
        <v>425500000000</v>
      </c>
      <c r="M18" s="130">
        <f>'1.9 OEM Sales'!C96*1000000</f>
        <v>13460000000</v>
      </c>
      <c r="N18" s="134">
        <f>'1.9 OEM Sales'!C102*1000000</f>
        <v>437002790803.9021</v>
      </c>
      <c r="O18" s="129">
        <f>'1.9 OEM Sales'!C100</f>
        <v>296.05148721516787</v>
      </c>
      <c r="P18" s="129">
        <f>'1.9 OEM Sales'!C97</f>
        <v>24.811974635009587</v>
      </c>
      <c r="Q18" s="28"/>
      <c r="R18" s="131">
        <v>294</v>
      </c>
      <c r="S18" s="24" t="s">
        <v>65</v>
      </c>
      <c r="T18" s="128">
        <f t="shared" si="8"/>
        <v>0.99307050528789653</v>
      </c>
      <c r="U18" s="26">
        <f>'1.9 OEM Sales'!D54*1000000</f>
        <v>1437200000</v>
      </c>
      <c r="V18" s="30" t="s">
        <v>63</v>
      </c>
      <c r="W18" s="128">
        <f>U18/G18</f>
        <v>0.99996521134110283</v>
      </c>
      <c r="X18" s="22">
        <f>1432.9*1000000</f>
        <v>1432900000</v>
      </c>
      <c r="Y18" s="27" t="s">
        <v>31</v>
      </c>
      <c r="Z18" s="128">
        <f t="shared" si="5"/>
        <v>0.9969733866759436</v>
      </c>
      <c r="AA18" s="27"/>
      <c r="AB18" s="135">
        <f>398.1*1000/1320.5</f>
        <v>301.47671336614917</v>
      </c>
      <c r="AC18" s="24" t="s">
        <v>64</v>
      </c>
      <c r="AD18" s="128">
        <f t="shared" si="6"/>
        <v>1.0183252791668576</v>
      </c>
    </row>
    <row r="19" spans="1:30">
      <c r="A19" s="124">
        <f t="shared" si="0"/>
        <v>2016</v>
      </c>
      <c r="B19" s="22">
        <f>'1.9 OEM Sales'!B31</f>
        <v>1495357900</v>
      </c>
      <c r="C19" s="22">
        <f t="shared" ref="C19" si="9">D19-B19</f>
        <v>392642100</v>
      </c>
      <c r="D19" s="132">
        <f>'1.9 OEM Sales'!C32</f>
        <v>1888000000</v>
      </c>
      <c r="E19" s="127">
        <f t="shared" ref="E19" si="10">B19/D19</f>
        <v>0.79203278601694915</v>
      </c>
      <c r="F19" s="22"/>
      <c r="G19" s="26">
        <f>'1.9 OEM Sales'!B98</f>
        <v>1473460000</v>
      </c>
      <c r="H19" s="26">
        <f>'1.9 OEM Sales'!B95</f>
        <v>499380000</v>
      </c>
      <c r="I19" s="133">
        <f>'1.9 OEM Sales'!B101</f>
        <v>1972840000</v>
      </c>
      <c r="J19" s="128">
        <f t="shared" ref="J19" si="11">G19/I19</f>
        <v>0.74687252894304657</v>
      </c>
      <c r="K19" s="128">
        <f t="shared" ref="K19" si="12">I19/D19</f>
        <v>1.0449364406779662</v>
      </c>
      <c r="L19" s="130">
        <f>'1.9 OEM Sales'!B99*1000000</f>
        <v>415210000000</v>
      </c>
      <c r="M19" s="130">
        <f>'1.9 OEM Sales'!B96*1000000</f>
        <v>9890000000</v>
      </c>
      <c r="N19" s="134">
        <f>'1.9 OEM Sales'!B102*1000000</f>
        <v>425100000000</v>
      </c>
      <c r="O19" s="129">
        <f>'1.9 OEM Sales'!B100</f>
        <v>281.79251557558399</v>
      </c>
      <c r="P19" s="129">
        <f>'1.9 OEM Sales'!B97</f>
        <v>19.804557651487844</v>
      </c>
      <c r="Q19" s="28"/>
      <c r="R19" s="131">
        <f>'1.9 OEM Sales'!B100</f>
        <v>281.79251557558399</v>
      </c>
      <c r="S19" s="24" t="s">
        <v>1428</v>
      </c>
      <c r="T19" s="312">
        <f t="shared" ref="T19" si="13">R19/O19</f>
        <v>1</v>
      </c>
      <c r="U19" s="311">
        <f>'1.9 OEM Sales'!B55*1000000</f>
        <v>1470600000</v>
      </c>
      <c r="V19" s="30" t="s">
        <v>1386</v>
      </c>
      <c r="W19" s="312">
        <f>U19/G19</f>
        <v>0.99805899040353996</v>
      </c>
      <c r="X19" s="315">
        <f>'1.9 OEM Sales'!B98</f>
        <v>1473460000</v>
      </c>
      <c r="Y19" s="27" t="s">
        <v>31</v>
      </c>
      <c r="Z19" s="312">
        <f t="shared" ref="Z19" si="14">X19/G19</f>
        <v>1</v>
      </c>
      <c r="AA19" s="313"/>
      <c r="AB19" s="135">
        <f>428.9*1000/1408</f>
        <v>304.61647727272725</v>
      </c>
      <c r="AC19" s="24" t="s">
        <v>978</v>
      </c>
      <c r="AD19" s="312">
        <f t="shared" ref="AD19" si="15">AB19/O19</f>
        <v>1.0809956277601038</v>
      </c>
    </row>
    <row r="20" spans="1:30" ht="15.6">
      <c r="L20" s="32" t="s">
        <v>7</v>
      </c>
      <c r="M20"/>
      <c r="N20"/>
      <c r="O20"/>
      <c r="P20"/>
      <c r="Q20"/>
      <c r="R20"/>
      <c r="S20"/>
      <c r="T20"/>
      <c r="U20"/>
      <c r="V20"/>
      <c r="W20"/>
      <c r="AB20" s="24" t="s">
        <v>7</v>
      </c>
    </row>
    <row r="21" spans="1:30" ht="15.6">
      <c r="L21" s="31" t="s">
        <v>7</v>
      </c>
      <c r="M21"/>
      <c r="N21"/>
      <c r="O21"/>
      <c r="P21"/>
      <c r="Q21"/>
      <c r="R21"/>
      <c r="S21"/>
      <c r="T21"/>
      <c r="U21"/>
      <c r="V21"/>
      <c r="W21"/>
      <c r="AB21" s="24" t="s">
        <v>7</v>
      </c>
      <c r="AD21" s="29" t="s">
        <v>7</v>
      </c>
    </row>
    <row r="22" spans="1:30" ht="15.6">
      <c r="L22" s="24" t="s">
        <v>7</v>
      </c>
      <c r="M22"/>
      <c r="N22"/>
      <c r="O22"/>
      <c r="P22"/>
      <c r="Q22"/>
      <c r="R22"/>
      <c r="S22"/>
      <c r="T22"/>
      <c r="U22"/>
      <c r="V22"/>
      <c r="W22"/>
      <c r="AB22" s="24" t="s">
        <v>7</v>
      </c>
      <c r="AD22" s="29" t="s">
        <v>7</v>
      </c>
    </row>
    <row r="23" spans="1:30" ht="15.6">
      <c r="M23"/>
      <c r="N23"/>
      <c r="O23"/>
      <c r="P23"/>
      <c r="Q23"/>
      <c r="R23"/>
      <c r="S23"/>
      <c r="T23"/>
      <c r="U23"/>
      <c r="V23"/>
      <c r="W23"/>
      <c r="AB23" s="24" t="s">
        <v>7</v>
      </c>
      <c r="AD23" s="29" t="s">
        <v>7</v>
      </c>
    </row>
    <row r="24" spans="1:30" ht="15.6">
      <c r="M24"/>
      <c r="N24"/>
      <c r="O24"/>
      <c r="P24"/>
      <c r="Q24"/>
      <c r="R24"/>
      <c r="S24"/>
      <c r="T24"/>
      <c r="U24"/>
      <c r="V24"/>
      <c r="W24"/>
      <c r="AB24" s="24" t="s">
        <v>7</v>
      </c>
      <c r="AD24" s="29" t="s">
        <v>7</v>
      </c>
    </row>
    <row r="25" spans="1:30" ht="15.6">
      <c r="M25"/>
      <c r="N25"/>
      <c r="O25"/>
      <c r="P25"/>
      <c r="Q25"/>
      <c r="R25"/>
      <c r="S25"/>
      <c r="T25"/>
      <c r="U25"/>
      <c r="V25"/>
      <c r="W25"/>
      <c r="AD25" s="29" t="s">
        <v>7</v>
      </c>
    </row>
    <row r="26" spans="1:30" ht="15.6">
      <c r="M26"/>
      <c r="N26"/>
      <c r="O26"/>
      <c r="P26"/>
      <c r="Q26"/>
      <c r="R26"/>
      <c r="S26"/>
      <c r="T26"/>
      <c r="U26"/>
      <c r="V26"/>
      <c r="W26"/>
    </row>
    <row r="27" spans="1:30" ht="15.6">
      <c r="M27"/>
      <c r="N27"/>
      <c r="O27"/>
      <c r="P27"/>
      <c r="Q27"/>
      <c r="R27"/>
      <c r="S27"/>
      <c r="T27"/>
      <c r="U27"/>
      <c r="V27"/>
      <c r="W27"/>
    </row>
    <row r="28" spans="1:30" ht="15.6">
      <c r="M28"/>
      <c r="N28"/>
      <c r="O28"/>
      <c r="P28"/>
      <c r="Q28"/>
      <c r="R28"/>
      <c r="S28"/>
      <c r="T28"/>
      <c r="U28"/>
      <c r="V28"/>
      <c r="W28"/>
    </row>
    <row r="29" spans="1:30" ht="15.6">
      <c r="M29"/>
      <c r="N29"/>
      <c r="O29"/>
      <c r="P29"/>
      <c r="Q29"/>
      <c r="R29"/>
      <c r="S29"/>
      <c r="T29"/>
      <c r="U29"/>
      <c r="V29"/>
      <c r="W29"/>
    </row>
    <row r="30" spans="1:30" ht="15.6">
      <c r="M30"/>
      <c r="N30"/>
      <c r="O30"/>
      <c r="P30"/>
      <c r="Q30"/>
      <c r="R30"/>
      <c r="S30"/>
      <c r="T30"/>
      <c r="U30"/>
      <c r="V30"/>
      <c r="W30"/>
    </row>
    <row r="31" spans="1:30">
      <c r="N31" s="31" t="s">
        <v>7</v>
      </c>
    </row>
  </sheetData>
  <mergeCells count="4">
    <mergeCell ref="B8:E8"/>
    <mergeCell ref="G8:P8"/>
    <mergeCell ref="R8:Z8"/>
    <mergeCell ref="AB8:AD8"/>
  </mergeCells>
  <phoneticPr fontId="16" type="noConversion"/>
  <hyperlinks>
    <hyperlink ref="AC19" r:id="rId1"/>
    <hyperlink ref="S18" r:id="rId2"/>
    <hyperlink ref="S19" r:id="rId3"/>
    <hyperlink ref="V18" r:id="rId4"/>
    <hyperlink ref="Y18" r:id="rId5"/>
    <hyperlink ref="Y19" r:id="rId6"/>
  </hyperlinks>
  <pageMargins left="0.7" right="0.7" top="0.75" bottom="0.75" header="0.3" footer="0.3"/>
  <pageSetup orientation="landscape" horizontalDpi="4294967292" verticalDpi="4294967292" r:id="rId7"/>
  <headerFooter>
    <oddHeader>&amp;LA New Dataset on Mobile Phone _x000D_Patent License Royalties&amp;C&amp;A&amp;RAugust 2017 Update</oddHeader>
    <oddFooter>&amp;LAlexander Galetovic, Stephen Haber, _x000D_and Lew Zaretzki&amp;C&amp;P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14"/>
  <sheetViews>
    <sheetView showGridLines="0" view="pageLayout" topLeftCell="A23" zoomScale="126" zoomScalePageLayoutView="126" workbookViewId="0">
      <selection activeCell="B44" sqref="B44"/>
    </sheetView>
  </sheetViews>
  <sheetFormatPr baseColWidth="10" defaultRowHeight="15.6"/>
  <cols>
    <col min="1" max="1" width="35" customWidth="1"/>
    <col min="2" max="2" width="16.69921875" style="257" customWidth="1"/>
    <col min="3" max="3" width="14.69921875" style="257" customWidth="1"/>
    <col min="4" max="6" width="14.69921875" customWidth="1"/>
    <col min="7" max="11" width="14.19921875" customWidth="1"/>
    <col min="12" max="21" width="13.5" customWidth="1"/>
  </cols>
  <sheetData>
    <row r="2" spans="1:21">
      <c r="A2" s="143" t="s">
        <v>771</v>
      </c>
      <c r="B2" s="143"/>
      <c r="C2" s="143"/>
    </row>
    <row r="3" spans="1:21" ht="18">
      <c r="A3" s="53" t="str">
        <f>CONCATENATE(VLOOKUP($A$2,'Table of Contents'!$B:$E,4,FALSE)," ",$A$2)</f>
        <v>1.9 OEM Sales</v>
      </c>
      <c r="B3" s="53"/>
      <c r="C3" s="53"/>
    </row>
    <row r="5" spans="1:21">
      <c r="A5" t="s">
        <v>80</v>
      </c>
    </row>
    <row r="6" spans="1:21">
      <c r="A6" t="s">
        <v>371</v>
      </c>
    </row>
    <row r="7" spans="1:21">
      <c r="A7" t="s">
        <v>372</v>
      </c>
    </row>
    <row r="9" spans="1:21" s="6" customFormat="1">
      <c r="A9" s="107" t="s">
        <v>390</v>
      </c>
      <c r="B9" s="107"/>
      <c r="C9" s="107"/>
    </row>
    <row r="10" spans="1:21" s="6" customFormat="1">
      <c r="B10" s="547">
        <v>2016</v>
      </c>
      <c r="C10" s="547"/>
      <c r="D10" s="547">
        <v>2015</v>
      </c>
      <c r="E10" s="547"/>
      <c r="F10" s="547">
        <v>2014</v>
      </c>
      <c r="G10" s="547"/>
      <c r="H10" s="547">
        <v>2013</v>
      </c>
      <c r="I10" s="547"/>
      <c r="J10" s="547">
        <v>2012</v>
      </c>
      <c r="K10" s="547"/>
      <c r="L10" s="547">
        <v>2011</v>
      </c>
      <c r="M10" s="547"/>
      <c r="N10" s="547">
        <v>2010</v>
      </c>
      <c r="O10" s="547"/>
      <c r="P10" s="547">
        <v>2009</v>
      </c>
      <c r="Q10" s="547"/>
      <c r="R10" s="547">
        <v>2008</v>
      </c>
      <c r="S10" s="547"/>
      <c r="T10" s="547">
        <v>2007</v>
      </c>
      <c r="U10" s="547"/>
    </row>
    <row r="11" spans="1:21" s="281" customFormat="1" ht="31.2">
      <c r="A11" s="291" t="s">
        <v>24</v>
      </c>
      <c r="B11" s="294" t="s">
        <v>959</v>
      </c>
      <c r="C11" s="282" t="s">
        <v>960</v>
      </c>
      <c r="D11" s="282" t="s">
        <v>959</v>
      </c>
      <c r="E11" s="282" t="s">
        <v>960</v>
      </c>
      <c r="F11" s="282" t="s">
        <v>959</v>
      </c>
      <c r="G11" s="282" t="s">
        <v>960</v>
      </c>
      <c r="H11" s="282" t="s">
        <v>959</v>
      </c>
      <c r="I11" s="282" t="s">
        <v>960</v>
      </c>
      <c r="J11" s="282" t="s">
        <v>959</v>
      </c>
      <c r="K11" s="282" t="s">
        <v>960</v>
      </c>
      <c r="L11" s="282" t="s">
        <v>959</v>
      </c>
      <c r="M11" s="282" t="s">
        <v>960</v>
      </c>
      <c r="N11" s="282" t="s">
        <v>959</v>
      </c>
      <c r="O11" s="282" t="s">
        <v>960</v>
      </c>
      <c r="P11" s="282" t="s">
        <v>959</v>
      </c>
      <c r="Q11" s="282" t="s">
        <v>960</v>
      </c>
      <c r="R11" s="282" t="s">
        <v>959</v>
      </c>
      <c r="S11" s="282" t="s">
        <v>960</v>
      </c>
      <c r="T11" s="282" t="s">
        <v>959</v>
      </c>
      <c r="U11" s="282" t="s">
        <v>960</v>
      </c>
    </row>
    <row r="12" spans="1:21" s="6" customFormat="1">
      <c r="A12" s="6" t="s">
        <v>25</v>
      </c>
      <c r="B12" s="296">
        <v>306446600</v>
      </c>
      <c r="D12" s="17">
        <v>320219700</v>
      </c>
      <c r="E12" s="17"/>
      <c r="F12" s="17">
        <v>307596900</v>
      </c>
      <c r="G12" s="17">
        <v>392546000</v>
      </c>
      <c r="H12" s="17">
        <v>299794900</v>
      </c>
      <c r="I12" s="17">
        <v>444444200</v>
      </c>
      <c r="J12" s="17">
        <v>205767100</v>
      </c>
      <c r="K12" s="17">
        <v>384631200</v>
      </c>
      <c r="L12" s="17"/>
      <c r="M12" s="17">
        <v>315052200</v>
      </c>
      <c r="N12" s="17"/>
      <c r="O12" s="17">
        <v>281065800</v>
      </c>
      <c r="P12" s="17"/>
      <c r="Q12" s="17">
        <v>235772000</v>
      </c>
      <c r="R12" s="17"/>
      <c r="S12" s="17">
        <v>199324300</v>
      </c>
      <c r="T12" s="17"/>
      <c r="U12" s="17">
        <v>154540700</v>
      </c>
    </row>
    <row r="13" spans="1:21" s="6" customFormat="1">
      <c r="A13" s="6" t="s">
        <v>26</v>
      </c>
      <c r="B13" s="296">
        <v>216064000</v>
      </c>
      <c r="D13" s="17">
        <v>225850600</v>
      </c>
      <c r="E13" s="17"/>
      <c r="F13" s="17">
        <v>191425800</v>
      </c>
      <c r="G13" s="17">
        <v>191426000</v>
      </c>
      <c r="H13" s="17">
        <v>150785900</v>
      </c>
      <c r="I13" s="17">
        <v>150785900</v>
      </c>
      <c r="J13" s="17">
        <v>130133200</v>
      </c>
      <c r="K13" s="17">
        <v>130133200</v>
      </c>
      <c r="L13" s="17"/>
      <c r="M13" s="17">
        <v>89263200</v>
      </c>
      <c r="N13" s="17">
        <v>46598300</v>
      </c>
      <c r="O13" s="17">
        <v>46598300</v>
      </c>
      <c r="P13" s="17">
        <v>24889700</v>
      </c>
      <c r="Q13" s="17">
        <v>24889700</v>
      </c>
      <c r="R13" s="17">
        <v>24889800</v>
      </c>
      <c r="S13" s="17"/>
      <c r="T13" s="17"/>
      <c r="U13" s="17"/>
    </row>
    <row r="14" spans="1:21" s="6" customFormat="1">
      <c r="A14" s="6" t="s">
        <v>54</v>
      </c>
      <c r="B14" s="12"/>
      <c r="D14" s="17"/>
      <c r="E14" s="17"/>
      <c r="F14" s="17"/>
      <c r="G14" s="17">
        <v>185660000</v>
      </c>
      <c r="H14" s="17"/>
      <c r="I14" s="17" t="s">
        <v>7</v>
      </c>
      <c r="J14" s="17"/>
      <c r="K14" s="17"/>
      <c r="L14" s="17"/>
      <c r="M14" s="17"/>
      <c r="N14" s="17"/>
      <c r="O14" s="17"/>
      <c r="P14" s="17"/>
      <c r="Q14" s="17"/>
      <c r="R14" s="17"/>
      <c r="S14" s="17"/>
      <c r="T14" s="17"/>
      <c r="U14" s="17"/>
    </row>
    <row r="15" spans="1:21" s="6" customFormat="1">
      <c r="A15" s="6" t="s">
        <v>47</v>
      </c>
      <c r="B15" s="12"/>
      <c r="D15" s="17"/>
      <c r="E15" s="17"/>
      <c r="F15" s="17"/>
      <c r="G15" s="17"/>
      <c r="H15" s="17"/>
      <c r="I15" s="17">
        <v>250793100</v>
      </c>
      <c r="J15" s="17"/>
      <c r="K15" s="17">
        <v>333938000</v>
      </c>
      <c r="L15" s="17"/>
      <c r="M15" s="17">
        <v>422478300</v>
      </c>
      <c r="N15" s="17">
        <v>111576700</v>
      </c>
      <c r="O15" s="17">
        <v>461318200</v>
      </c>
      <c r="P15" s="17">
        <v>80878300</v>
      </c>
      <c r="Q15" s="17">
        <v>440881600</v>
      </c>
      <c r="R15" s="17">
        <v>72933500</v>
      </c>
      <c r="S15" s="17">
        <v>472314900</v>
      </c>
      <c r="T15" s="17"/>
      <c r="U15" s="17">
        <v>435453100</v>
      </c>
    </row>
    <row r="16" spans="1:21" s="6" customFormat="1">
      <c r="A16" s="6" t="s">
        <v>48</v>
      </c>
      <c r="B16" s="12"/>
      <c r="D16" s="17"/>
      <c r="E16" s="17"/>
      <c r="F16" s="17"/>
      <c r="G16" s="17">
        <v>53910000</v>
      </c>
      <c r="H16" s="17"/>
      <c r="I16" s="17">
        <v>59898800</v>
      </c>
      <c r="J16" s="17"/>
      <c r="K16" s="17">
        <v>67344400</v>
      </c>
      <c r="L16" s="17"/>
      <c r="M16" s="17">
        <v>56881800</v>
      </c>
      <c r="N16" s="17"/>
      <c r="O16" s="17">
        <v>29686000</v>
      </c>
      <c r="P16" s="17"/>
      <c r="Q16" s="17">
        <v>16026100</v>
      </c>
      <c r="R16" s="17"/>
      <c r="S16" s="17"/>
      <c r="T16" s="17"/>
      <c r="U16" s="17"/>
    </row>
    <row r="17" spans="1:21" s="6" customFormat="1">
      <c r="A17" s="6" t="s">
        <v>60</v>
      </c>
      <c r="B17" s="12"/>
      <c r="D17" s="17"/>
      <c r="E17" s="17"/>
      <c r="F17" s="17"/>
      <c r="G17" s="17">
        <v>37791000</v>
      </c>
      <c r="H17" s="17"/>
      <c r="I17" s="17">
        <v>37595700</v>
      </c>
      <c r="J17" s="17"/>
      <c r="K17" s="17">
        <v>31394200</v>
      </c>
      <c r="L17" s="17"/>
      <c r="M17" s="17">
        <v>32597500</v>
      </c>
      <c r="N17" s="17"/>
      <c r="O17" s="17">
        <v>41819200</v>
      </c>
      <c r="P17" s="17"/>
      <c r="Q17" s="17">
        <v>54956600</v>
      </c>
      <c r="R17" s="17"/>
      <c r="S17" s="17">
        <v>93106100</v>
      </c>
      <c r="T17" s="17"/>
      <c r="U17" s="17">
        <v>101358400</v>
      </c>
    </row>
    <row r="18" spans="1:21" s="6" customFormat="1">
      <c r="A18" s="6" t="s">
        <v>56</v>
      </c>
      <c r="B18" s="12"/>
      <c r="D18" s="17"/>
      <c r="E18" s="17"/>
      <c r="F18" s="17"/>
      <c r="G18" s="17">
        <v>37094000</v>
      </c>
      <c r="H18" s="17"/>
      <c r="I18" s="17">
        <v>25431000</v>
      </c>
      <c r="J18" s="17"/>
      <c r="K18" s="17"/>
      <c r="L18" s="17"/>
      <c r="M18" s="17"/>
      <c r="N18" s="17"/>
      <c r="O18" s="17"/>
      <c r="P18" s="17"/>
      <c r="Q18" s="17"/>
      <c r="R18" s="17"/>
      <c r="S18" s="17"/>
      <c r="T18" s="17"/>
      <c r="U18" s="17"/>
    </row>
    <row r="19" spans="1:21" s="6" customFormat="1">
      <c r="A19" s="6" t="s">
        <v>33</v>
      </c>
      <c r="B19" s="296">
        <v>132824900</v>
      </c>
      <c r="D19" s="17">
        <v>104094700</v>
      </c>
      <c r="E19" s="17"/>
      <c r="F19" s="17">
        <v>68080700</v>
      </c>
      <c r="G19" s="17">
        <v>70499000</v>
      </c>
      <c r="H19" s="17">
        <v>46609400</v>
      </c>
      <c r="I19" s="17">
        <v>53295100</v>
      </c>
      <c r="J19" s="17">
        <v>27168700</v>
      </c>
      <c r="K19" s="17">
        <v>47288300</v>
      </c>
      <c r="L19" s="17"/>
      <c r="M19" s="17">
        <v>40663400</v>
      </c>
      <c r="N19" s="17"/>
      <c r="O19" s="17">
        <v>23814700</v>
      </c>
      <c r="P19" s="17"/>
      <c r="Q19" s="17">
        <v>13490600</v>
      </c>
      <c r="R19" s="17"/>
      <c r="S19" s="17"/>
      <c r="T19" s="17"/>
      <c r="U19" s="17"/>
    </row>
    <row r="20" spans="1:21" s="6" customFormat="1">
      <c r="A20" s="6" t="s">
        <v>55</v>
      </c>
      <c r="B20" s="12"/>
      <c r="D20" s="17"/>
      <c r="E20" s="17"/>
      <c r="F20" s="17"/>
      <c r="G20" s="17">
        <v>64026000</v>
      </c>
      <c r="H20" s="17"/>
      <c r="I20" s="17">
        <v>49531300</v>
      </c>
      <c r="J20" s="17"/>
      <c r="K20" s="17">
        <v>37176600</v>
      </c>
      <c r="L20" s="17"/>
      <c r="M20" s="17">
        <v>34037500</v>
      </c>
      <c r="N20" s="17"/>
      <c r="O20" s="17"/>
      <c r="P20" s="17"/>
      <c r="Q20" s="17"/>
      <c r="R20" s="17"/>
      <c r="S20" s="17"/>
      <c r="T20" s="17"/>
      <c r="U20" s="17"/>
    </row>
    <row r="21" spans="1:21" s="6" customFormat="1">
      <c r="A21" s="6" t="s">
        <v>49</v>
      </c>
      <c r="B21" s="12"/>
      <c r="D21" s="17"/>
      <c r="E21" s="17"/>
      <c r="F21" s="17"/>
      <c r="G21" s="17"/>
      <c r="H21" s="17"/>
      <c r="I21" s="17" t="s">
        <v>7</v>
      </c>
      <c r="J21" s="17"/>
      <c r="K21" s="17">
        <v>34210300</v>
      </c>
      <c r="L21" s="17"/>
      <c r="M21" s="17">
        <v>51541900</v>
      </c>
      <c r="N21" s="17">
        <v>47451600</v>
      </c>
      <c r="O21" s="17">
        <v>49651600</v>
      </c>
      <c r="P21" s="17">
        <v>34346600</v>
      </c>
      <c r="Q21" s="17">
        <v>34346600</v>
      </c>
      <c r="R21" s="17">
        <v>23149000</v>
      </c>
      <c r="S21" s="17"/>
      <c r="T21" s="17"/>
      <c r="U21" s="17"/>
    </row>
    <row r="22" spans="1:21" s="6" customFormat="1">
      <c r="A22" s="6" t="s">
        <v>34</v>
      </c>
      <c r="B22" s="12"/>
      <c r="D22" s="17">
        <v>72748200</v>
      </c>
      <c r="E22" s="17"/>
      <c r="F22" s="17">
        <v>81415800</v>
      </c>
      <c r="G22" s="17">
        <v>84029000</v>
      </c>
      <c r="H22" s="17">
        <v>43904500</v>
      </c>
      <c r="I22" s="17">
        <v>45284700</v>
      </c>
      <c r="J22" s="17">
        <v>21698500</v>
      </c>
      <c r="K22" s="17">
        <v>28151400</v>
      </c>
      <c r="L22" s="17"/>
      <c r="M22" s="17"/>
      <c r="N22" s="17"/>
      <c r="O22" s="17"/>
      <c r="P22" s="17"/>
      <c r="Q22" s="17"/>
      <c r="R22" s="17"/>
      <c r="S22" s="17"/>
      <c r="T22" s="17"/>
      <c r="U22" s="17"/>
    </row>
    <row r="23" spans="1:21" s="6" customFormat="1">
      <c r="A23" s="6" t="s">
        <v>50</v>
      </c>
      <c r="B23" s="12"/>
      <c r="D23" s="17"/>
      <c r="E23" s="17"/>
      <c r="F23" s="17"/>
      <c r="G23" s="17"/>
      <c r="H23" s="17"/>
      <c r="I23" s="17" t="s">
        <v>7</v>
      </c>
      <c r="J23" s="17"/>
      <c r="K23" s="17"/>
      <c r="L23" s="17"/>
      <c r="M23" s="17">
        <v>40269100</v>
      </c>
      <c r="N23" s="17"/>
      <c r="O23" s="17">
        <v>38553700</v>
      </c>
      <c r="P23" s="17"/>
      <c r="Q23" s="17">
        <v>58475200</v>
      </c>
      <c r="R23" s="17"/>
      <c r="S23" s="17">
        <v>106522400</v>
      </c>
      <c r="T23" s="17"/>
      <c r="U23" s="17">
        <v>164307000</v>
      </c>
    </row>
    <row r="24" spans="1:21" s="6" customFormat="1">
      <c r="A24" s="6" t="s">
        <v>51</v>
      </c>
      <c r="B24" s="12"/>
      <c r="D24" s="17"/>
      <c r="E24" s="17"/>
      <c r="F24" s="17"/>
      <c r="G24" s="17"/>
      <c r="H24" s="17"/>
      <c r="I24" s="17" t="s">
        <v>7</v>
      </c>
      <c r="J24" s="17"/>
      <c r="K24" s="17">
        <v>32121800</v>
      </c>
      <c r="L24" s="17"/>
      <c r="M24" s="17">
        <v>43266900</v>
      </c>
      <c r="N24" s="17"/>
      <c r="O24" s="17">
        <v>24688400</v>
      </c>
      <c r="P24" s="17"/>
      <c r="Q24" s="17">
        <v>10811900</v>
      </c>
      <c r="R24" s="17"/>
      <c r="S24" s="17"/>
      <c r="T24" s="17"/>
      <c r="U24" s="17"/>
    </row>
    <row r="25" spans="1:21" s="6" customFormat="1">
      <c r="A25" s="6" t="s">
        <v>958</v>
      </c>
      <c r="B25" s="12"/>
      <c r="D25" s="17"/>
      <c r="E25" s="17"/>
      <c r="F25" s="17"/>
      <c r="G25" s="17"/>
      <c r="H25" s="17"/>
      <c r="I25" s="17">
        <v>32601400</v>
      </c>
      <c r="J25" s="17"/>
      <c r="K25" s="17">
        <v>18557500</v>
      </c>
      <c r="L25" s="17"/>
      <c r="M25" s="17"/>
      <c r="N25" s="17"/>
      <c r="O25" s="17"/>
      <c r="P25" s="17"/>
      <c r="Q25" s="17"/>
      <c r="R25" s="17"/>
      <c r="S25" s="17"/>
      <c r="T25" s="17"/>
      <c r="U25" s="17"/>
    </row>
    <row r="26" spans="1:21" s="6" customFormat="1">
      <c r="A26" s="6" t="s">
        <v>38</v>
      </c>
      <c r="B26" s="12"/>
      <c r="D26" s="17">
        <v>65618600</v>
      </c>
      <c r="E26" s="17"/>
      <c r="F26" s="17">
        <v>56529300</v>
      </c>
      <c r="G26" s="17">
        <v>56529000</v>
      </c>
      <c r="H26" s="17"/>
      <c r="I26" s="17">
        <v>13423000</v>
      </c>
      <c r="J26" s="17"/>
      <c r="K26" s="17"/>
      <c r="L26" s="17"/>
      <c r="M26" s="17"/>
      <c r="N26" s="17"/>
      <c r="O26" s="17"/>
      <c r="P26" s="17"/>
      <c r="Q26" s="17"/>
      <c r="R26" s="17"/>
      <c r="S26" s="17"/>
      <c r="T26" s="17"/>
      <c r="U26" s="17"/>
    </row>
    <row r="27" spans="1:21" s="6" customFormat="1">
      <c r="A27" s="6" t="s">
        <v>37</v>
      </c>
      <c r="B27" s="12"/>
      <c r="D27" s="17"/>
      <c r="E27" s="17"/>
      <c r="F27" s="17">
        <v>57661000</v>
      </c>
      <c r="G27" s="17">
        <v>76096000</v>
      </c>
      <c r="H27" s="17">
        <v>46431800</v>
      </c>
      <c r="I27" s="17">
        <v>69024500</v>
      </c>
      <c r="J27" s="17">
        <v>25814100</v>
      </c>
      <c r="K27" s="17">
        <v>58015900</v>
      </c>
      <c r="L27" s="17"/>
      <c r="M27" s="17">
        <v>86370900</v>
      </c>
      <c r="N27" s="17"/>
      <c r="O27" s="17">
        <v>114154600</v>
      </c>
      <c r="P27" s="17"/>
      <c r="Q27" s="17">
        <v>121972100</v>
      </c>
      <c r="R27" s="17"/>
      <c r="S27" s="17">
        <v>102789100</v>
      </c>
      <c r="T27" s="17"/>
      <c r="U27" s="17">
        <v>78576300</v>
      </c>
    </row>
    <row r="28" spans="1:21" s="6" customFormat="1">
      <c r="A28" s="12" t="s">
        <v>961</v>
      </c>
      <c r="B28" s="296">
        <v>85299500</v>
      </c>
      <c r="D28" s="17"/>
      <c r="E28" s="17"/>
      <c r="F28" s="17"/>
      <c r="G28" s="17"/>
      <c r="H28" s="17"/>
      <c r="I28" s="17"/>
      <c r="J28" s="17"/>
      <c r="K28" s="17"/>
      <c r="L28" s="17"/>
      <c r="M28" s="17"/>
      <c r="N28" s="17"/>
      <c r="O28" s="17"/>
      <c r="P28" s="17"/>
      <c r="Q28" s="17"/>
      <c r="R28" s="17"/>
      <c r="S28" s="17"/>
      <c r="T28" s="17"/>
      <c r="U28" s="17"/>
    </row>
    <row r="29" spans="1:21" s="6" customFormat="1">
      <c r="A29" s="12" t="s">
        <v>255</v>
      </c>
      <c r="B29" s="296">
        <v>72408600</v>
      </c>
      <c r="D29" s="17"/>
      <c r="E29" s="17"/>
      <c r="F29" s="17"/>
      <c r="G29" s="17"/>
      <c r="H29" s="17"/>
      <c r="I29" s="17"/>
      <c r="J29" s="17"/>
      <c r="K29" s="17"/>
      <c r="L29" s="17"/>
      <c r="M29" s="17"/>
      <c r="N29" s="17"/>
      <c r="O29" s="17"/>
      <c r="P29" s="17"/>
      <c r="Q29" s="17"/>
      <c r="R29" s="17"/>
      <c r="S29" s="17"/>
      <c r="T29" s="17"/>
      <c r="U29" s="17"/>
    </row>
    <row r="30" spans="1:21" s="6" customFormat="1">
      <c r="A30" s="6" t="s">
        <v>28</v>
      </c>
      <c r="B30" s="296">
        <v>682314300</v>
      </c>
      <c r="D30" s="17">
        <v>635368500</v>
      </c>
      <c r="E30" s="17"/>
      <c r="F30" s="17">
        <f>539691300-F27</f>
        <v>482030300</v>
      </c>
      <c r="G30" s="17">
        <v>629360000</v>
      </c>
      <c r="H30" s="17">
        <v>380249300</v>
      </c>
      <c r="I30" s="17">
        <f>613710000-I26</f>
        <v>600287000</v>
      </c>
      <c r="J30" s="17">
        <v>269526600</v>
      </c>
      <c r="K30" s="17">
        <v>609544900</v>
      </c>
      <c r="L30" s="17"/>
      <c r="M30" s="17">
        <v>595886900</v>
      </c>
      <c r="N30" s="17">
        <f>N31-SUM(N12:N27)</f>
        <v>91020000</v>
      </c>
      <c r="O30" s="17">
        <v>485452000</v>
      </c>
      <c r="P30" s="17">
        <f>P31-SUM(P12:P27)</f>
        <v>32261500</v>
      </c>
      <c r="Q30" s="17">
        <v>199617200</v>
      </c>
      <c r="R30" s="17">
        <f>R31-SUM(R12:R27)</f>
        <v>18315600</v>
      </c>
      <c r="S30" s="17">
        <v>248196100</v>
      </c>
      <c r="T30" s="17"/>
      <c r="U30" s="17">
        <v>218604300</v>
      </c>
    </row>
    <row r="31" spans="1:21" s="18" customFormat="1">
      <c r="A31" s="18" t="s">
        <v>42</v>
      </c>
      <c r="B31" s="157">
        <f>SUM(B12:B30)</f>
        <v>1495357900</v>
      </c>
      <c r="C31" s="18">
        <f>SUM(C12:C30)</f>
        <v>0</v>
      </c>
      <c r="D31" s="157">
        <f>SUM(D12:D30)</f>
        <v>1423900300</v>
      </c>
      <c r="E31" s="157"/>
      <c r="F31" s="157">
        <f>SUM(F12:F30)</f>
        <v>1244739800</v>
      </c>
      <c r="G31" s="157"/>
      <c r="H31" s="157">
        <f>SUM(H12:H30)</f>
        <v>967775800</v>
      </c>
      <c r="I31" s="157" t="s">
        <v>7</v>
      </c>
      <c r="J31" s="157">
        <v>680108200</v>
      </c>
      <c r="K31" s="157"/>
      <c r="L31" s="157">
        <v>472000000</v>
      </c>
      <c r="M31" s="157"/>
      <c r="N31" s="157">
        <v>296646600</v>
      </c>
      <c r="O31" s="157"/>
      <c r="P31" s="157">
        <v>172376100</v>
      </c>
      <c r="Q31" s="157"/>
      <c r="R31" s="157">
        <v>139287900</v>
      </c>
      <c r="T31" s="157">
        <v>122320000</v>
      </c>
      <c r="U31" s="157">
        <v>1152839800</v>
      </c>
    </row>
    <row r="32" spans="1:21" s="6" customFormat="1">
      <c r="A32" s="6" t="s">
        <v>39</v>
      </c>
      <c r="B32" s="307">
        <v>1888000000</v>
      </c>
      <c r="C32" s="17">
        <f>B32</f>
        <v>1888000000</v>
      </c>
      <c r="D32" s="17">
        <v>1917000000</v>
      </c>
      <c r="E32" s="17">
        <v>1917000000</v>
      </c>
      <c r="F32" s="17"/>
      <c r="G32" s="17">
        <v>1878968000</v>
      </c>
      <c r="H32" s="17"/>
      <c r="I32" s="17">
        <v>1806964700</v>
      </c>
      <c r="J32" s="17"/>
      <c r="K32" s="17">
        <v>1746175600</v>
      </c>
      <c r="L32" s="17"/>
      <c r="M32" s="17">
        <v>1775712000</v>
      </c>
      <c r="N32" s="17"/>
      <c r="O32" s="17">
        <v>1596802400</v>
      </c>
      <c r="P32" s="17"/>
      <c r="Q32" s="17">
        <v>1211239600</v>
      </c>
      <c r="R32" s="17"/>
      <c r="S32" s="17">
        <v>1222252900</v>
      </c>
      <c r="T32" s="17"/>
      <c r="U32" s="17" t="s">
        <v>7</v>
      </c>
    </row>
    <row r="33" spans="1:21" s="6" customFormat="1">
      <c r="A33" s="6" t="s">
        <v>52</v>
      </c>
      <c r="B33" s="17">
        <f>B32-B31</f>
        <v>392642100</v>
      </c>
      <c r="D33" s="17">
        <f>D32-D31</f>
        <v>493099700</v>
      </c>
      <c r="E33" s="17"/>
      <c r="F33" s="17"/>
      <c r="G33" s="17"/>
      <c r="H33" s="17"/>
      <c r="I33" s="17"/>
      <c r="J33" s="17"/>
      <c r="K33" s="17"/>
      <c r="L33" s="17"/>
      <c r="M33" s="17"/>
      <c r="N33" s="17"/>
      <c r="O33" s="17"/>
      <c r="P33" s="17"/>
      <c r="Q33" s="17"/>
      <c r="R33" s="17"/>
      <c r="S33" s="17"/>
      <c r="T33" s="17"/>
      <c r="U33" s="17"/>
    </row>
    <row r="34" spans="1:21" s="6" customFormat="1">
      <c r="A34" s="6" t="s">
        <v>41</v>
      </c>
      <c r="D34" s="17">
        <v>195000000</v>
      </c>
      <c r="E34" s="17"/>
      <c r="F34" s="17"/>
      <c r="H34" s="17">
        <v>195435004</v>
      </c>
      <c r="I34" s="17" t="s">
        <v>7</v>
      </c>
      <c r="J34" s="17"/>
      <c r="K34" s="17">
        <v>116348317</v>
      </c>
      <c r="L34" s="17"/>
      <c r="M34" s="17"/>
      <c r="N34" s="17"/>
      <c r="O34" s="17"/>
      <c r="P34" s="17"/>
      <c r="Q34" s="17"/>
      <c r="R34" s="17"/>
      <c r="S34" s="17"/>
      <c r="T34" s="17"/>
      <c r="U34" s="17"/>
    </row>
    <row r="35" spans="1:21" s="6" customFormat="1">
      <c r="A35" s="6" t="s">
        <v>6</v>
      </c>
      <c r="B35" s="280" t="s">
        <v>976</v>
      </c>
      <c r="D35" s="6" t="s">
        <v>35</v>
      </c>
      <c r="F35" s="6" t="s">
        <v>35</v>
      </c>
      <c r="G35" s="6" t="s">
        <v>53</v>
      </c>
      <c r="H35" s="6" t="s">
        <v>36</v>
      </c>
      <c r="I35" s="6" t="s">
        <v>53</v>
      </c>
      <c r="K35" s="6" t="s">
        <v>57</v>
      </c>
      <c r="M35" s="6" t="s">
        <v>57</v>
      </c>
      <c r="N35" s="6" t="s">
        <v>62</v>
      </c>
      <c r="O35" s="6" t="s">
        <v>59</v>
      </c>
      <c r="P35" s="6" t="s">
        <v>68</v>
      </c>
      <c r="Q35" s="6" t="s">
        <v>68</v>
      </c>
      <c r="R35" s="6" t="s">
        <v>68</v>
      </c>
      <c r="S35" s="6" t="s">
        <v>68</v>
      </c>
      <c r="T35" s="6" t="s">
        <v>67</v>
      </c>
      <c r="U35" s="6" t="s">
        <v>69</v>
      </c>
    </row>
    <row r="36" spans="1:21" s="6" customFormat="1">
      <c r="B36" s="280" t="s">
        <v>975</v>
      </c>
      <c r="D36" s="6" t="s">
        <v>40</v>
      </c>
      <c r="F36" s="6" t="s">
        <v>36</v>
      </c>
      <c r="H36" s="6" t="s">
        <v>43</v>
      </c>
      <c r="I36" s="6" t="s">
        <v>43</v>
      </c>
      <c r="K36" s="6" t="s">
        <v>43</v>
      </c>
      <c r="M36" s="6" t="s">
        <v>59</v>
      </c>
      <c r="O36" s="6" t="s">
        <v>62</v>
      </c>
      <c r="P36" s="6" t="s">
        <v>62</v>
      </c>
      <c r="Q36" s="6" t="s">
        <v>62</v>
      </c>
      <c r="R36" s="6" t="s">
        <v>67</v>
      </c>
    </row>
    <row r="37" spans="1:21" s="6" customFormat="1">
      <c r="H37" s="6" t="s">
        <v>61</v>
      </c>
      <c r="I37" s="6" t="s">
        <v>61</v>
      </c>
      <c r="J37" s="6" t="s">
        <v>61</v>
      </c>
      <c r="K37" s="6" t="s">
        <v>61</v>
      </c>
      <c r="L37" s="6" t="s">
        <v>67</v>
      </c>
      <c r="M37" s="6" t="s">
        <v>66</v>
      </c>
    </row>
    <row r="38" spans="1:21" s="6" customFormat="1"/>
    <row r="39" spans="1:21">
      <c r="A39" t="s">
        <v>7</v>
      </c>
    </row>
    <row r="40" spans="1:21" s="6" customFormat="1">
      <c r="A40" s="107" t="s">
        <v>81</v>
      </c>
      <c r="B40" s="107"/>
      <c r="C40" s="107"/>
    </row>
    <row r="41" spans="1:21" s="6" customFormat="1">
      <c r="B41" s="547">
        <v>2016</v>
      </c>
      <c r="C41" s="547"/>
      <c r="D41" s="547">
        <v>2015</v>
      </c>
      <c r="E41" s="547"/>
      <c r="F41" s="547">
        <v>2014</v>
      </c>
      <c r="G41" s="547"/>
      <c r="H41" s="547">
        <v>2013</v>
      </c>
      <c r="I41" s="547"/>
      <c r="J41" s="547">
        <v>2012</v>
      </c>
      <c r="K41" s="547"/>
      <c r="L41" s="547">
        <v>2011</v>
      </c>
      <c r="M41" s="547"/>
      <c r="N41" s="547">
        <v>2010</v>
      </c>
      <c r="O41" s="547"/>
    </row>
    <row r="42" spans="1:21" s="281" customFormat="1" ht="31.2">
      <c r="A42" s="281" t="s">
        <v>24</v>
      </c>
      <c r="B42" s="294" t="s">
        <v>959</v>
      </c>
      <c r="C42" s="282" t="s">
        <v>960</v>
      </c>
      <c r="D42" s="282" t="s">
        <v>959</v>
      </c>
      <c r="E42" s="282" t="s">
        <v>960</v>
      </c>
      <c r="F42" s="282" t="s">
        <v>959</v>
      </c>
      <c r="G42" s="282" t="s">
        <v>960</v>
      </c>
      <c r="H42" s="282" t="s">
        <v>959</v>
      </c>
      <c r="I42" s="282" t="s">
        <v>960</v>
      </c>
      <c r="J42" s="282" t="s">
        <v>959</v>
      </c>
      <c r="K42" s="282" t="s">
        <v>960</v>
      </c>
      <c r="L42" s="282" t="s">
        <v>959</v>
      </c>
      <c r="M42" s="282" t="s">
        <v>960</v>
      </c>
      <c r="N42" s="282" t="s">
        <v>959</v>
      </c>
      <c r="O42" s="282" t="s">
        <v>960</v>
      </c>
    </row>
    <row r="43" spans="1:21" s="6" customFormat="1">
      <c r="A43" s="6" t="s">
        <v>5</v>
      </c>
      <c r="B43" s="12"/>
      <c r="C43" s="12"/>
      <c r="K43" s="279">
        <v>335.6</v>
      </c>
      <c r="L43" s="6">
        <v>77.3</v>
      </c>
      <c r="M43" s="279">
        <v>416.9</v>
      </c>
      <c r="N43" s="6">
        <v>100.3</v>
      </c>
      <c r="O43" s="279">
        <v>453</v>
      </c>
    </row>
    <row r="44" spans="1:21" s="6" customFormat="1">
      <c r="A44" s="6" t="s">
        <v>25</v>
      </c>
      <c r="B44" s="12">
        <v>311.39999999999998</v>
      </c>
      <c r="C44" s="12"/>
      <c r="D44" s="6">
        <v>320.89999999999998</v>
      </c>
      <c r="F44" s="6">
        <v>318.2</v>
      </c>
      <c r="H44" s="6">
        <v>313.89999999999998</v>
      </c>
      <c r="J44" s="6">
        <v>219.7</v>
      </c>
      <c r="K44" s="279">
        <v>406</v>
      </c>
      <c r="L44" s="12">
        <v>94.2</v>
      </c>
      <c r="M44" s="279">
        <v>330.9</v>
      </c>
      <c r="N44" s="12">
        <v>23</v>
      </c>
      <c r="O44" s="279">
        <v>280.2</v>
      </c>
      <c r="P44" s="279"/>
    </row>
    <row r="45" spans="1:21" s="6" customFormat="1">
      <c r="A45" s="6" t="s">
        <v>26</v>
      </c>
      <c r="B45" s="12">
        <v>215.4</v>
      </c>
      <c r="C45" s="12"/>
      <c r="D45" s="6">
        <v>231.5</v>
      </c>
      <c r="F45" s="6">
        <v>192.7</v>
      </c>
      <c r="H45" s="6">
        <v>153.4</v>
      </c>
      <c r="J45" s="6">
        <v>135.9</v>
      </c>
      <c r="K45" s="279">
        <v>136.80000000000001</v>
      </c>
      <c r="L45" s="12">
        <v>93.1</v>
      </c>
      <c r="M45" s="279">
        <v>93.1</v>
      </c>
      <c r="N45" s="12">
        <v>47.5</v>
      </c>
      <c r="O45" s="279">
        <v>47.5</v>
      </c>
      <c r="P45" s="279"/>
    </row>
    <row r="46" spans="1:21" s="6" customFormat="1">
      <c r="A46" s="6" t="s">
        <v>33</v>
      </c>
      <c r="B46" s="12">
        <v>139.30000000000001</v>
      </c>
      <c r="C46" s="12"/>
      <c r="D46" s="6">
        <v>107</v>
      </c>
      <c r="F46" s="6">
        <v>73.8</v>
      </c>
      <c r="H46" s="6">
        <v>48.8</v>
      </c>
      <c r="J46" s="6">
        <v>29.1</v>
      </c>
      <c r="O46" s="279"/>
      <c r="P46" s="279"/>
    </row>
    <row r="47" spans="1:21" s="6" customFormat="1">
      <c r="A47" s="6" t="s">
        <v>27</v>
      </c>
      <c r="B47" s="12"/>
      <c r="C47" s="12"/>
      <c r="H47" s="6">
        <v>47.7</v>
      </c>
      <c r="J47" s="6">
        <v>26.3</v>
      </c>
      <c r="K47" s="279">
        <v>55.9</v>
      </c>
      <c r="M47" s="279">
        <v>88.1</v>
      </c>
      <c r="O47" s="279">
        <v>116.7</v>
      </c>
      <c r="P47" s="279"/>
    </row>
    <row r="48" spans="1:21" s="6" customFormat="1">
      <c r="A48" s="6" t="s">
        <v>961</v>
      </c>
      <c r="B48" s="12">
        <v>99.4</v>
      </c>
      <c r="C48" s="12"/>
      <c r="D48" s="12">
        <v>42.7</v>
      </c>
      <c r="O48" s="279"/>
      <c r="P48" s="279"/>
    </row>
    <row r="49" spans="1:16" s="6" customFormat="1">
      <c r="A49" s="6" t="s">
        <v>255</v>
      </c>
      <c r="B49" s="12">
        <v>77.3</v>
      </c>
      <c r="C49" s="12"/>
      <c r="D49" s="12">
        <v>38</v>
      </c>
      <c r="O49" s="279"/>
      <c r="P49" s="279"/>
    </row>
    <row r="50" spans="1:16" s="6" customFormat="1">
      <c r="A50" s="6" t="s">
        <v>58</v>
      </c>
      <c r="B50" s="12"/>
      <c r="C50" s="12"/>
      <c r="D50" s="6">
        <v>70.8</v>
      </c>
      <c r="F50" s="6">
        <v>57.7</v>
      </c>
      <c r="O50" s="279"/>
      <c r="P50" s="279"/>
    </row>
    <row r="51" spans="1:16" s="6" customFormat="1">
      <c r="A51" s="6" t="s">
        <v>45</v>
      </c>
      <c r="B51" s="12"/>
      <c r="C51" s="12"/>
      <c r="D51" s="6">
        <v>74</v>
      </c>
      <c r="F51" s="6">
        <v>59.4</v>
      </c>
      <c r="H51" s="6">
        <v>45.5</v>
      </c>
      <c r="J51" s="6">
        <v>23.7</v>
      </c>
      <c r="O51" s="279"/>
      <c r="P51" s="279"/>
    </row>
    <row r="52" spans="1:16" s="6" customFormat="1">
      <c r="A52" s="6" t="s">
        <v>29</v>
      </c>
      <c r="B52" s="12"/>
      <c r="C52" s="12"/>
      <c r="K52" s="279">
        <v>65</v>
      </c>
      <c r="M52" s="279">
        <v>69.5</v>
      </c>
      <c r="O52" s="279">
        <v>50.5</v>
      </c>
      <c r="P52" s="279"/>
    </row>
    <row r="53" spans="1:16" s="6" customFormat="1">
      <c r="A53" s="6" t="s">
        <v>28</v>
      </c>
      <c r="B53" s="12">
        <v>627.79999999999995</v>
      </c>
      <c r="C53" s="12"/>
      <c r="D53" s="6">
        <f>697.1-D51-D50</f>
        <v>552.30000000000007</v>
      </c>
      <c r="F53" s="6">
        <v>599.9</v>
      </c>
      <c r="H53" s="6">
        <v>394.9</v>
      </c>
      <c r="J53" s="6">
        <v>290.5</v>
      </c>
      <c r="K53" s="279">
        <v>713.3</v>
      </c>
      <c r="L53" s="6">
        <f>136+51.1+43.6</f>
        <v>230.7</v>
      </c>
      <c r="M53" s="279">
        <v>716.8</v>
      </c>
      <c r="N53" s="6">
        <f>61.5+21.5+48.8</f>
        <v>131.80000000000001</v>
      </c>
      <c r="O53" s="279">
        <v>443.6</v>
      </c>
      <c r="P53" s="279"/>
    </row>
    <row r="54" spans="1:16" s="18" customFormat="1">
      <c r="A54" s="18" t="s">
        <v>30</v>
      </c>
      <c r="B54" s="293">
        <v>1470.6</v>
      </c>
      <c r="C54" s="293"/>
      <c r="D54" s="18">
        <f>SUM(D44:D53)</f>
        <v>1437.2</v>
      </c>
      <c r="F54" s="18">
        <v>1301.7</v>
      </c>
      <c r="H54" s="18">
        <f>SUM(H44:H53)</f>
        <v>1004.1999999999999</v>
      </c>
      <c r="J54" s="18">
        <v>725.3</v>
      </c>
      <c r="K54" s="290">
        <f>SUM(K43:K53)</f>
        <v>1712.6</v>
      </c>
      <c r="L54" s="18">
        <v>495.3</v>
      </c>
      <c r="M54" s="290">
        <v>1715.3</v>
      </c>
      <c r="N54" s="18">
        <v>302.60000000000002</v>
      </c>
      <c r="O54" s="290">
        <v>1391.5</v>
      </c>
      <c r="P54" s="290"/>
    </row>
    <row r="55" spans="1:16" s="6" customFormat="1">
      <c r="B55" s="12">
        <f>SUM(B43:B53)</f>
        <v>1470.6</v>
      </c>
      <c r="C55" s="12"/>
      <c r="D55" s="12">
        <v>1437.2</v>
      </c>
      <c r="K55" s="279"/>
      <c r="M55" s="279"/>
      <c r="O55" s="279"/>
      <c r="P55" s="279"/>
    </row>
    <row r="56" spans="1:16" s="6" customFormat="1">
      <c r="A56" s="6" t="s">
        <v>6</v>
      </c>
      <c r="B56" s="280" t="s">
        <v>976</v>
      </c>
      <c r="D56" s="6" t="s">
        <v>63</v>
      </c>
      <c r="F56" s="6" t="s">
        <v>63</v>
      </c>
      <c r="H56" s="6" t="s">
        <v>46</v>
      </c>
      <c r="J56" s="6" t="s">
        <v>46</v>
      </c>
      <c r="K56" s="6" t="s">
        <v>44</v>
      </c>
      <c r="M56" s="6" t="s">
        <v>44</v>
      </c>
      <c r="O56" s="280" t="s">
        <v>31</v>
      </c>
    </row>
    <row r="57" spans="1:16" s="6" customFormat="1"/>
    <row r="58" spans="1:16" s="6" customFormat="1">
      <c r="A58" s="6" t="s">
        <v>389</v>
      </c>
      <c r="B58" s="148">
        <f>(B54*1000000)/B31</f>
        <v>0.98344349536656073</v>
      </c>
      <c r="D58" s="148">
        <f>(D54*1000000)/D31</f>
        <v>1.009340330920641</v>
      </c>
      <c r="F58" s="148">
        <f>(F54*1000000)/F31</f>
        <v>1.0457607284671062</v>
      </c>
      <c r="H58" s="148">
        <f>(H54*1000000)/H31</f>
        <v>1.03763702295511</v>
      </c>
      <c r="J58" s="148">
        <f>(J54*1000000)/J31</f>
        <v>1.0664479563692955</v>
      </c>
      <c r="K58" s="148">
        <f>(K54*1000000)/K32</f>
        <v>0.98077192236565436</v>
      </c>
      <c r="M58" s="148">
        <f>(M54*1000000)/M32</f>
        <v>0.96597871726946716</v>
      </c>
      <c r="O58" s="148">
        <f>(O54*1000000)/O32</f>
        <v>0.87142905095834022</v>
      </c>
    </row>
    <row r="59" spans="1:16" s="6" customFormat="1">
      <c r="D59" s="148"/>
      <c r="F59" s="148"/>
      <c r="H59" s="148"/>
      <c r="J59" s="148"/>
      <c r="K59" s="148"/>
      <c r="M59" s="148"/>
      <c r="O59" s="148"/>
    </row>
    <row r="60" spans="1:16" s="6" customFormat="1">
      <c r="D60" s="148"/>
      <c r="F60" s="148"/>
      <c r="H60" s="148"/>
      <c r="J60" s="148"/>
      <c r="K60" s="148"/>
      <c r="M60" s="148"/>
      <c r="O60" s="148"/>
    </row>
    <row r="61" spans="1:16" s="6" customFormat="1">
      <c r="D61" s="148"/>
      <c r="F61" s="148"/>
      <c r="H61" s="148"/>
      <c r="J61" s="148"/>
      <c r="K61" s="148"/>
      <c r="M61" s="148"/>
      <c r="O61" s="148"/>
    </row>
    <row r="62" spans="1:16" s="6" customFormat="1">
      <c r="D62" s="148"/>
      <c r="F62" s="148"/>
      <c r="H62" s="148"/>
      <c r="J62" s="148"/>
      <c r="K62" s="148"/>
      <c r="M62" s="148"/>
      <c r="O62" s="148"/>
    </row>
    <row r="63" spans="1:16" s="6" customFormat="1">
      <c r="A63" s="107" t="s">
        <v>253</v>
      </c>
      <c r="B63" s="107"/>
      <c r="C63" s="107"/>
      <c r="F63" s="6" t="s">
        <v>7</v>
      </c>
      <c r="G63" s="6" t="s">
        <v>7</v>
      </c>
      <c r="H63" s="6" t="s">
        <v>7</v>
      </c>
      <c r="I63" s="6" t="s">
        <v>7</v>
      </c>
      <c r="J63" s="6" t="s">
        <v>7</v>
      </c>
    </row>
    <row r="64" spans="1:16" s="6" customFormat="1">
      <c r="A64" s="107"/>
      <c r="B64" s="107"/>
      <c r="C64" s="107"/>
    </row>
    <row r="65" spans="1:17" s="6" customFormat="1">
      <c r="B65" s="547">
        <v>2016</v>
      </c>
      <c r="C65" s="547"/>
      <c r="D65" s="547">
        <v>2015</v>
      </c>
      <c r="E65" s="547"/>
      <c r="F65" s="547">
        <v>2014</v>
      </c>
      <c r="G65" s="547"/>
      <c r="H65" s="547">
        <v>2013</v>
      </c>
      <c r="I65" s="547"/>
      <c r="J65" s="547">
        <v>2012</v>
      </c>
      <c r="K65" s="547"/>
      <c r="L65" s="547">
        <v>2011</v>
      </c>
      <c r="M65" s="547"/>
      <c r="N65" s="547">
        <v>2010</v>
      </c>
      <c r="O65" s="547"/>
    </row>
    <row r="66" spans="1:17" s="281" customFormat="1" ht="31.2">
      <c r="A66" s="281" t="s">
        <v>24</v>
      </c>
      <c r="B66" s="282" t="s">
        <v>959</v>
      </c>
      <c r="C66" s="282" t="s">
        <v>960</v>
      </c>
      <c r="D66" s="282" t="s">
        <v>959</v>
      </c>
      <c r="E66" s="282" t="s">
        <v>960</v>
      </c>
      <c r="F66" s="282" t="s">
        <v>959</v>
      </c>
      <c r="G66" s="282" t="s">
        <v>960</v>
      </c>
      <c r="H66" s="282" t="s">
        <v>959</v>
      </c>
      <c r="I66" s="282" t="s">
        <v>960</v>
      </c>
      <c r="J66" s="282" t="s">
        <v>959</v>
      </c>
      <c r="K66" s="282" t="s">
        <v>960</v>
      </c>
      <c r="L66" s="282" t="s">
        <v>959</v>
      </c>
      <c r="M66" s="282" t="s">
        <v>960</v>
      </c>
      <c r="N66" s="282" t="s">
        <v>959</v>
      </c>
      <c r="O66" s="282" t="s">
        <v>960</v>
      </c>
    </row>
    <row r="67" spans="1:17" s="6" customFormat="1">
      <c r="A67" s="6" t="s">
        <v>25</v>
      </c>
      <c r="B67" s="12"/>
      <c r="C67" s="12"/>
      <c r="D67" s="6">
        <v>322.89999999999998</v>
      </c>
      <c r="H67" s="6">
        <v>306</v>
      </c>
      <c r="J67" s="6">
        <v>218</v>
      </c>
      <c r="L67" s="6">
        <v>95</v>
      </c>
      <c r="M67" s="6">
        <v>329</v>
      </c>
      <c r="O67" s="6">
        <v>280.2</v>
      </c>
      <c r="Q67" s="6">
        <v>227.1</v>
      </c>
    </row>
    <row r="68" spans="1:17" s="6" customFormat="1">
      <c r="A68" s="6" t="s">
        <v>26</v>
      </c>
      <c r="B68" s="12"/>
      <c r="C68" s="12"/>
      <c r="D68" s="6">
        <v>231.5</v>
      </c>
      <c r="H68" s="6">
        <v>131</v>
      </c>
      <c r="J68" s="6">
        <v>136</v>
      </c>
      <c r="L68" s="6">
        <v>93</v>
      </c>
      <c r="M68" s="6">
        <v>93.2</v>
      </c>
      <c r="O68" s="6">
        <v>47.5</v>
      </c>
      <c r="Q68" s="6">
        <v>25.4</v>
      </c>
    </row>
    <row r="69" spans="1:17" s="6" customFormat="1">
      <c r="A69" s="6" t="s">
        <v>33</v>
      </c>
      <c r="B69" s="12"/>
      <c r="C69" s="12"/>
      <c r="D69" s="6">
        <v>104.8</v>
      </c>
      <c r="H69" s="6">
        <v>41</v>
      </c>
      <c r="J69" s="6">
        <v>22</v>
      </c>
      <c r="L69" s="6">
        <v>10</v>
      </c>
      <c r="M69" s="6">
        <v>53</v>
      </c>
      <c r="O69" s="6">
        <v>30.2</v>
      </c>
      <c r="Q69" s="6">
        <v>25.2</v>
      </c>
    </row>
    <row r="70" spans="1:17" s="6" customFormat="1">
      <c r="A70" s="6" t="s">
        <v>254</v>
      </c>
      <c r="B70" s="12"/>
      <c r="C70" s="12"/>
      <c r="D70" s="6">
        <v>50</v>
      </c>
    </row>
    <row r="71" spans="1:17" s="6" customFormat="1">
      <c r="A71" s="6" t="s">
        <v>58</v>
      </c>
      <c r="B71" s="12"/>
      <c r="C71" s="12"/>
      <c r="D71" s="6">
        <v>70.7</v>
      </c>
      <c r="L71" s="16" t="s">
        <v>7</v>
      </c>
    </row>
    <row r="72" spans="1:17" s="6" customFormat="1">
      <c r="A72" s="6" t="s">
        <v>255</v>
      </c>
      <c r="B72" s="12"/>
      <c r="C72" s="12"/>
      <c r="D72" s="6">
        <v>40.5</v>
      </c>
    </row>
    <row r="73" spans="1:17" s="6" customFormat="1">
      <c r="A73" s="6" t="s">
        <v>256</v>
      </c>
      <c r="B73" s="12"/>
      <c r="C73" s="12"/>
      <c r="D73" s="6">
        <v>59.7</v>
      </c>
      <c r="H73" s="6">
        <v>49</v>
      </c>
      <c r="J73" s="6">
        <v>26</v>
      </c>
      <c r="L73" s="6">
        <v>24</v>
      </c>
      <c r="M73" s="6">
        <v>88.1</v>
      </c>
      <c r="O73" s="6">
        <v>116.7</v>
      </c>
      <c r="Q73" s="6">
        <v>117.9</v>
      </c>
    </row>
    <row r="74" spans="1:17" s="6" customFormat="1">
      <c r="A74" s="6" t="s">
        <v>29</v>
      </c>
      <c r="B74" s="12"/>
      <c r="C74" s="12"/>
      <c r="D74" s="6">
        <v>56.2</v>
      </c>
      <c r="H74" s="6">
        <v>45</v>
      </c>
      <c r="J74" s="6">
        <v>35</v>
      </c>
      <c r="L74" s="6">
        <v>12</v>
      </c>
      <c r="M74" s="6">
        <v>66</v>
      </c>
      <c r="O74" s="6">
        <v>60.4</v>
      </c>
      <c r="Q74" s="6">
        <v>50.2</v>
      </c>
    </row>
    <row r="75" spans="1:17" s="6" customFormat="1">
      <c r="A75" s="6" t="s">
        <v>45</v>
      </c>
      <c r="B75" s="12"/>
      <c r="C75" s="12"/>
      <c r="D75" s="6">
        <v>74</v>
      </c>
      <c r="H75" s="6">
        <v>47</v>
      </c>
      <c r="J75" s="6">
        <v>23</v>
      </c>
      <c r="L75" s="6">
        <v>2</v>
      </c>
    </row>
    <row r="76" spans="1:17" s="6" customFormat="1">
      <c r="A76" s="6" t="s">
        <v>257</v>
      </c>
      <c r="B76" s="12"/>
      <c r="C76" s="12"/>
      <c r="D76" s="6">
        <v>44.5</v>
      </c>
    </row>
    <row r="77" spans="1:17" s="6" customFormat="1">
      <c r="A77" s="6" t="s">
        <v>258</v>
      </c>
      <c r="B77" s="12"/>
      <c r="C77" s="12"/>
      <c r="D77" s="6">
        <v>20.2</v>
      </c>
    </row>
    <row r="78" spans="1:17" s="6" customFormat="1">
      <c r="A78" s="6" t="s">
        <v>56</v>
      </c>
      <c r="B78" s="12"/>
      <c r="C78" s="12"/>
      <c r="D78" s="6">
        <v>14.4</v>
      </c>
    </row>
    <row r="79" spans="1:17" s="6" customFormat="1">
      <c r="A79" s="6" t="s">
        <v>392</v>
      </c>
      <c r="B79" s="12"/>
      <c r="C79" s="12"/>
      <c r="H79" s="6">
        <v>40</v>
      </c>
      <c r="J79" s="6">
        <v>32</v>
      </c>
      <c r="L79" s="6">
        <v>24</v>
      </c>
      <c r="M79" s="6">
        <v>34.4</v>
      </c>
      <c r="O79" s="6">
        <v>43.1</v>
      </c>
      <c r="Q79" s="6">
        <v>57.1</v>
      </c>
    </row>
    <row r="80" spans="1:17" s="6" customFormat="1">
      <c r="A80" s="6" t="s">
        <v>385</v>
      </c>
      <c r="B80" s="12"/>
      <c r="C80" s="12"/>
      <c r="H80" s="6">
        <v>35</v>
      </c>
      <c r="J80" s="6">
        <v>18</v>
      </c>
      <c r="L80" s="6">
        <v>5</v>
      </c>
    </row>
    <row r="81" spans="1:27" s="6" customFormat="1">
      <c r="A81" s="6" t="s">
        <v>386</v>
      </c>
      <c r="B81" s="12"/>
      <c r="C81" s="12"/>
      <c r="H81" s="6">
        <v>34</v>
      </c>
      <c r="J81" s="6">
        <v>35</v>
      </c>
      <c r="L81" s="6">
        <v>77</v>
      </c>
      <c r="M81" s="6">
        <v>417.1</v>
      </c>
      <c r="O81" s="6">
        <v>453</v>
      </c>
      <c r="Q81" s="6">
        <v>431.8</v>
      </c>
    </row>
    <row r="82" spans="1:27" s="6" customFormat="1">
      <c r="A82" s="6" t="s">
        <v>51</v>
      </c>
      <c r="B82" s="12"/>
      <c r="C82" s="12"/>
      <c r="H82" s="6">
        <v>22</v>
      </c>
      <c r="J82" s="6">
        <v>31</v>
      </c>
      <c r="L82" s="6">
        <v>45</v>
      </c>
      <c r="M82" s="6">
        <v>45.2</v>
      </c>
      <c r="O82" s="6">
        <v>24.6</v>
      </c>
      <c r="Q82" s="6">
        <v>11.7</v>
      </c>
    </row>
    <row r="83" spans="1:27" s="6" customFormat="1">
      <c r="A83" s="6" t="s">
        <v>387</v>
      </c>
      <c r="B83" s="12"/>
      <c r="C83" s="12"/>
      <c r="H83" s="6">
        <v>21</v>
      </c>
      <c r="J83" s="6">
        <v>33</v>
      </c>
      <c r="L83" s="6">
        <v>51</v>
      </c>
      <c r="M83" s="6">
        <v>51.4</v>
      </c>
      <c r="O83" s="6">
        <v>47.4</v>
      </c>
      <c r="Q83" s="6">
        <v>33.4</v>
      </c>
    </row>
    <row r="84" spans="1:27" s="6" customFormat="1">
      <c r="A84" s="6" t="s">
        <v>388</v>
      </c>
      <c r="B84" s="12"/>
      <c r="C84" s="12"/>
      <c r="H84" s="6">
        <v>18</v>
      </c>
      <c r="J84" s="6">
        <v>23</v>
      </c>
      <c r="L84" s="6">
        <v>19</v>
      </c>
      <c r="M84" s="6">
        <v>41.4</v>
      </c>
      <c r="O84" s="6">
        <v>37.200000000000003</v>
      </c>
      <c r="Q84" s="6">
        <v>55.1</v>
      </c>
    </row>
    <row r="85" spans="1:27" s="6" customFormat="1">
      <c r="A85" s="6" t="s">
        <v>261</v>
      </c>
      <c r="B85" s="12"/>
      <c r="C85" s="12"/>
      <c r="D85" s="6">
        <v>340.5</v>
      </c>
      <c r="H85" s="6">
        <v>167</v>
      </c>
      <c r="J85" s="6">
        <v>80</v>
      </c>
      <c r="L85" s="6">
        <v>27</v>
      </c>
      <c r="M85" s="6">
        <v>381.2</v>
      </c>
      <c r="O85" s="6">
        <v>284.7</v>
      </c>
      <c r="Q85" s="6">
        <v>225.1</v>
      </c>
    </row>
    <row r="86" spans="1:27" s="18" customFormat="1">
      <c r="A86" s="18" t="s">
        <v>30</v>
      </c>
      <c r="B86" s="293">
        <f t="shared" ref="B86:C86" si="0">SUM(B67:B85)</f>
        <v>0</v>
      </c>
      <c r="C86" s="293">
        <f t="shared" si="0"/>
        <v>0</v>
      </c>
      <c r="D86" s="18">
        <f>SUM(D67:D85)</f>
        <v>1429.9000000000003</v>
      </c>
      <c r="H86" s="18">
        <v>975</v>
      </c>
      <c r="J86" s="18">
        <v>712</v>
      </c>
      <c r="L86" s="18">
        <v>485</v>
      </c>
      <c r="M86" s="18">
        <v>1600</v>
      </c>
      <c r="O86" s="18">
        <v>1425</v>
      </c>
      <c r="Q86" s="18">
        <v>1260</v>
      </c>
    </row>
    <row r="87" spans="1:27" s="6" customFormat="1"/>
    <row r="88" spans="1:27" s="6" customFormat="1">
      <c r="A88" s="6" t="s">
        <v>391</v>
      </c>
      <c r="B88" s="148">
        <f>(B86*1000000)/B31</f>
        <v>0</v>
      </c>
      <c r="D88" s="148">
        <f>(D86*1000000)/D31</f>
        <v>1.0042135674808133</v>
      </c>
      <c r="F88" s="148">
        <f>(F86*1000000)/F31</f>
        <v>0</v>
      </c>
      <c r="H88" s="148">
        <f>(H86*1000000)/H31</f>
        <v>1.0074647454503409</v>
      </c>
      <c r="J88" s="148">
        <f>(J86*1000000)/J31</f>
        <v>1.046892244498743</v>
      </c>
      <c r="L88" s="148">
        <f>(L86*1000000)/L31</f>
        <v>1.027542372881356</v>
      </c>
      <c r="M88" s="148" t="s">
        <v>7</v>
      </c>
      <c r="N88" s="148">
        <f>(N86*1000000)/N31</f>
        <v>0</v>
      </c>
      <c r="P88" s="148">
        <f>(P86*1000000)/P31</f>
        <v>0</v>
      </c>
    </row>
    <row r="89" spans="1:27" s="6" customFormat="1">
      <c r="A89" s="6" t="s">
        <v>6</v>
      </c>
      <c r="B89" s="6" t="s">
        <v>977</v>
      </c>
      <c r="D89" s="6" t="s">
        <v>262</v>
      </c>
    </row>
    <row r="90" spans="1:27" s="6" customFormat="1"/>
    <row r="91" spans="1:27" s="6" customFormat="1"/>
    <row r="92" spans="1:27" s="283" customFormat="1">
      <c r="A92" s="107" t="s">
        <v>82</v>
      </c>
      <c r="B92" s="107"/>
      <c r="C92" s="107"/>
    </row>
    <row r="93" spans="1:27" s="284" customFormat="1"/>
    <row r="94" spans="1:27" s="284" customFormat="1">
      <c r="B94" s="289">
        <v>2016</v>
      </c>
      <c r="C94" s="289" t="s">
        <v>74</v>
      </c>
      <c r="D94" s="289" t="s">
        <v>73</v>
      </c>
      <c r="E94" s="289">
        <v>2013</v>
      </c>
      <c r="F94" s="289" t="s">
        <v>72</v>
      </c>
      <c r="G94" s="289" t="s">
        <v>71</v>
      </c>
      <c r="H94" s="289" t="s">
        <v>70</v>
      </c>
      <c r="I94" s="289">
        <f>H94-1</f>
        <v>2009</v>
      </c>
      <c r="J94" s="289">
        <f>I94-1</f>
        <v>2008</v>
      </c>
      <c r="K94" s="289">
        <f>J94-1</f>
        <v>2007</v>
      </c>
      <c r="AA94" s="288" t="s">
        <v>7</v>
      </c>
    </row>
    <row r="95" spans="1:27" s="284" customFormat="1">
      <c r="A95" s="284" t="s">
        <v>75</v>
      </c>
      <c r="B95" s="292">
        <v>499380000</v>
      </c>
      <c r="C95" s="285">
        <v>542480000</v>
      </c>
      <c r="D95" s="285">
        <v>664900000</v>
      </c>
      <c r="E95" s="285">
        <v>827910000</v>
      </c>
      <c r="F95" s="285">
        <v>1016820000</v>
      </c>
      <c r="G95" s="285">
        <v>1223970000</v>
      </c>
      <c r="H95" s="285">
        <v>1290130000</v>
      </c>
      <c r="I95" s="285">
        <v>1167980000</v>
      </c>
      <c r="J95" s="285">
        <v>1163950000</v>
      </c>
      <c r="K95" s="285">
        <v>1018150000</v>
      </c>
    </row>
    <row r="96" spans="1:27" s="284" customFormat="1">
      <c r="A96" s="284" t="s">
        <v>76</v>
      </c>
      <c r="B96" s="295">
        <v>9890</v>
      </c>
      <c r="C96" s="286">
        <v>13460</v>
      </c>
      <c r="D96" s="286">
        <v>22780</v>
      </c>
      <c r="E96" s="286">
        <v>38600</v>
      </c>
      <c r="F96" s="286">
        <v>59510</v>
      </c>
      <c r="G96" s="286">
        <v>94890</v>
      </c>
      <c r="H96" s="286">
        <v>129270</v>
      </c>
      <c r="I96" s="286">
        <v>144620</v>
      </c>
      <c r="J96" s="286">
        <v>180670</v>
      </c>
      <c r="K96" s="286">
        <v>167080</v>
      </c>
    </row>
    <row r="97" spans="1:27" s="284" customFormat="1">
      <c r="A97" s="284" t="s">
        <v>963</v>
      </c>
      <c r="B97" s="295">
        <f>B96*1000000/B95</f>
        <v>19.804557651487844</v>
      </c>
      <c r="C97" s="295">
        <f t="shared" ref="C97:H97" si="1">C96*1000000/C95</f>
        <v>24.811974635009587</v>
      </c>
      <c r="D97" s="295">
        <f t="shared" si="1"/>
        <v>34.260791096405477</v>
      </c>
      <c r="E97" s="295">
        <f t="shared" si="1"/>
        <v>46.623425251537</v>
      </c>
      <c r="F97" s="295">
        <f t="shared" si="1"/>
        <v>58.525599417792726</v>
      </c>
      <c r="G97" s="295">
        <f t="shared" si="1"/>
        <v>77.526409961028463</v>
      </c>
      <c r="H97" s="295">
        <f t="shared" si="1"/>
        <v>100.19920473130615</v>
      </c>
      <c r="I97" s="295">
        <f t="shared" ref="I97" si="2">I96*1000000/I95</f>
        <v>123.82061336666723</v>
      </c>
      <c r="J97" s="295">
        <f t="shared" ref="J97" si="3">J96*1000000/J95</f>
        <v>155.22144422011255</v>
      </c>
      <c r="K97" s="295">
        <f t="shared" ref="K97" si="4">K96*1000000/K95</f>
        <v>164.10155674507686</v>
      </c>
    </row>
    <row r="98" spans="1:27" s="284" customFormat="1">
      <c r="A98" s="284" t="s">
        <v>77</v>
      </c>
      <c r="B98" s="292">
        <v>1473460000</v>
      </c>
      <c r="C98" s="292">
        <v>1437250000</v>
      </c>
      <c r="D98" s="285">
        <v>1301690000</v>
      </c>
      <c r="E98" s="285">
        <v>1018740000</v>
      </c>
      <c r="F98" s="285">
        <v>726700000</v>
      </c>
      <c r="G98" s="285">
        <v>494410000</v>
      </c>
      <c r="H98" s="285">
        <v>304680000</v>
      </c>
      <c r="I98" s="285">
        <v>173350000</v>
      </c>
      <c r="J98" s="285">
        <v>150770000</v>
      </c>
      <c r="K98" s="285">
        <v>123930000</v>
      </c>
    </row>
    <row r="99" spans="1:27" s="284" customFormat="1">
      <c r="A99" s="284" t="s">
        <v>78</v>
      </c>
      <c r="B99" s="295">
        <v>415210</v>
      </c>
      <c r="C99" s="286">
        <v>425500</v>
      </c>
      <c r="D99" s="286">
        <v>392880</v>
      </c>
      <c r="E99" s="286">
        <v>340490</v>
      </c>
      <c r="F99" s="286">
        <v>280600</v>
      </c>
      <c r="G99" s="286">
        <v>210060</v>
      </c>
      <c r="H99" s="286">
        <v>130190</v>
      </c>
      <c r="I99" s="286">
        <v>73120</v>
      </c>
      <c r="J99" s="286">
        <v>64840</v>
      </c>
      <c r="K99" s="286">
        <v>52390</v>
      </c>
    </row>
    <row r="100" spans="1:27" s="284" customFormat="1">
      <c r="A100" s="284" t="s">
        <v>964</v>
      </c>
      <c r="B100" s="295">
        <f>B99*1000000/B98</f>
        <v>281.79251557558399</v>
      </c>
      <c r="C100" s="295">
        <f t="shared" ref="C100:H100" si="5">C99*1000000/C98</f>
        <v>296.05148721516787</v>
      </c>
      <c r="D100" s="295">
        <f t="shared" si="5"/>
        <v>301.82301469627947</v>
      </c>
      <c r="E100" s="295">
        <f t="shared" si="5"/>
        <v>334.22659363527492</v>
      </c>
      <c r="F100" s="295">
        <f t="shared" si="5"/>
        <v>386.12907664786019</v>
      </c>
      <c r="G100" s="295">
        <f t="shared" si="5"/>
        <v>424.87004712687849</v>
      </c>
      <c r="H100" s="295">
        <f t="shared" si="5"/>
        <v>427.30077458316924</v>
      </c>
      <c r="I100" s="295">
        <f t="shared" ref="I100" si="6">I99*1000000/I98</f>
        <v>421.80559561580617</v>
      </c>
      <c r="J100" s="295">
        <f t="shared" ref="J100" si="7">J99*1000000/J98</f>
        <v>430.05903031106982</v>
      </c>
      <c r="K100" s="295">
        <f t="shared" ref="K100" si="8">K99*1000000/K98</f>
        <v>422.73864278221578</v>
      </c>
    </row>
    <row r="101" spans="1:27" s="284" customFormat="1">
      <c r="A101" s="284" t="s">
        <v>79</v>
      </c>
      <c r="B101" s="292">
        <f>B98+B95</f>
        <v>1972840000</v>
      </c>
      <c r="C101" s="285">
        <v>1970215201.6177223</v>
      </c>
      <c r="D101" s="285">
        <v>1961878328.1719999</v>
      </c>
      <c r="E101" s="285">
        <v>1846652664.28</v>
      </c>
      <c r="F101" s="285">
        <v>1743524629.0180001</v>
      </c>
      <c r="G101" s="285">
        <v>1718385211.6806002</v>
      </c>
      <c r="H101" s="285">
        <v>1594812950.6799998</v>
      </c>
      <c r="I101" s="285">
        <v>1341330000</v>
      </c>
      <c r="J101" s="285">
        <v>1314720000</v>
      </c>
      <c r="K101" s="285">
        <v>1142080000</v>
      </c>
    </row>
    <row r="102" spans="1:27" s="284" customFormat="1">
      <c r="A102" s="284" t="s">
        <v>962</v>
      </c>
      <c r="B102" s="295">
        <f>B99+B96</f>
        <v>425100</v>
      </c>
      <c r="C102" s="286">
        <v>437002.79080390208</v>
      </c>
      <c r="D102" s="286">
        <v>412093.06839989283</v>
      </c>
      <c r="E102" s="286">
        <v>376851.61994675174</v>
      </c>
      <c r="F102" s="286">
        <v>340108.50844263093</v>
      </c>
      <c r="G102" s="286">
        <v>304945.72376551793</v>
      </c>
      <c r="H102" s="286">
        <v>259456.74982024421</v>
      </c>
      <c r="I102" s="286">
        <v>217740</v>
      </c>
      <c r="J102" s="286">
        <v>245510</v>
      </c>
      <c r="K102" s="286">
        <v>219480</v>
      </c>
    </row>
    <row r="103" spans="1:27" s="284" customFormat="1">
      <c r="A103" s="284" t="s">
        <v>965</v>
      </c>
      <c r="B103" s="295">
        <f>B102*1000000/B101</f>
        <v>215.47616633888202</v>
      </c>
      <c r="C103" s="295">
        <f t="shared" ref="C103:H103" si="9">C102*1000000/C101</f>
        <v>221.80459801806617</v>
      </c>
      <c r="D103" s="295">
        <f t="shared" si="9"/>
        <v>210.05026788988729</v>
      </c>
      <c r="E103" s="295">
        <f t="shared" si="9"/>
        <v>204.07282172561898</v>
      </c>
      <c r="F103" s="295">
        <f t="shared" si="9"/>
        <v>195.0695176782155</v>
      </c>
      <c r="G103" s="295">
        <f t="shared" si="9"/>
        <v>177.46063088338474</v>
      </c>
      <c r="H103" s="295">
        <f t="shared" si="9"/>
        <v>162.68788744762605</v>
      </c>
      <c r="I103" s="295">
        <f t="shared" ref="I103" si="10">I102*1000000/I101</f>
        <v>162.33141732459575</v>
      </c>
      <c r="J103" s="295">
        <f t="shared" ref="J103" si="11">J102*1000000/J101</f>
        <v>186.73938176950224</v>
      </c>
      <c r="K103" s="295">
        <f t="shared" ref="K103" si="12">K102*1000000/K101</f>
        <v>192.1756794620342</v>
      </c>
    </row>
    <row r="104" spans="1:27" s="284" customFormat="1">
      <c r="A104" s="284" t="s">
        <v>83</v>
      </c>
      <c r="B104" s="308">
        <f t="shared" ref="B104:H104" si="13">B99/B102</f>
        <v>0.97673488590919788</v>
      </c>
      <c r="C104" s="308">
        <f t="shared" si="13"/>
        <v>0.97367799234704711</v>
      </c>
      <c r="D104" s="308">
        <f t="shared" si="13"/>
        <v>0.95337687072851085</v>
      </c>
      <c r="E104" s="308">
        <f t="shared" si="13"/>
        <v>0.90351210391004944</v>
      </c>
      <c r="F104" s="308">
        <f t="shared" si="13"/>
        <v>0.82503081526797861</v>
      </c>
      <c r="G104" s="308">
        <f t="shared" si="13"/>
        <v>0.68884389459916329</v>
      </c>
      <c r="H104" s="308">
        <f t="shared" si="13"/>
        <v>0.50177919861478926</v>
      </c>
      <c r="I104" s="308">
        <f t="shared" ref="I104:K104" si="14">I99/I102</f>
        <v>0.33581335537797374</v>
      </c>
      <c r="J104" s="308">
        <f t="shared" si="14"/>
        <v>0.26410329518145903</v>
      </c>
      <c r="K104" s="308">
        <f t="shared" si="14"/>
        <v>0.23870056497175141</v>
      </c>
    </row>
    <row r="105" spans="1:27" s="287" customFormat="1">
      <c r="B105" s="402">
        <f>14150890648/(B99*1000000)</f>
        <v>3.4081285730112473E-2</v>
      </c>
      <c r="C105" s="287" t="s">
        <v>7</v>
      </c>
      <c r="I105" s="262"/>
      <c r="J105" s="284"/>
      <c r="K105" s="284"/>
    </row>
    <row r="106" spans="1:27">
      <c r="B106"/>
      <c r="C106"/>
      <c r="I106" s="262"/>
      <c r="J106" s="284"/>
      <c r="K106" s="284"/>
    </row>
    <row r="107" spans="1:27" s="283" customFormat="1">
      <c r="A107" s="107" t="s">
        <v>979</v>
      </c>
      <c r="B107" s="107"/>
      <c r="C107" s="107"/>
    </row>
    <row r="108" spans="1:27" s="284" customFormat="1"/>
    <row r="109" spans="1:27" s="284" customFormat="1">
      <c r="B109" s="289">
        <v>2016</v>
      </c>
      <c r="C109" s="289" t="s">
        <v>74</v>
      </c>
      <c r="AA109" s="288" t="s">
        <v>7</v>
      </c>
    </row>
    <row r="110" spans="1:27">
      <c r="A110" t="s">
        <v>980</v>
      </c>
      <c r="B110" s="309">
        <v>1408</v>
      </c>
      <c r="C110" s="309">
        <v>1320.5</v>
      </c>
    </row>
    <row r="111" spans="1:27">
      <c r="A111" t="s">
        <v>981</v>
      </c>
      <c r="B111" s="95">
        <v>428.9</v>
      </c>
      <c r="C111" s="95">
        <v>398.1</v>
      </c>
    </row>
    <row r="112" spans="1:27">
      <c r="A112" t="s">
        <v>982</v>
      </c>
      <c r="B112" s="95">
        <f>B111*1000/B110</f>
        <v>304.61647727272725</v>
      </c>
      <c r="C112" s="95">
        <f>C111*1000/C110</f>
        <v>301.47671336614917</v>
      </c>
    </row>
    <row r="114" spans="1:1">
      <c r="A114" t="s">
        <v>983</v>
      </c>
    </row>
  </sheetData>
  <sortState ref="A126:B330">
    <sortCondition ref="A126:A330"/>
  </sortState>
  <mergeCells count="24">
    <mergeCell ref="P10:Q10"/>
    <mergeCell ref="R10:S10"/>
    <mergeCell ref="T10:U10"/>
    <mergeCell ref="N41:O41"/>
    <mergeCell ref="B65:C65"/>
    <mergeCell ref="D65:E65"/>
    <mergeCell ref="F65:G65"/>
    <mergeCell ref="H65:I65"/>
    <mergeCell ref="J65:K65"/>
    <mergeCell ref="L65:M65"/>
    <mergeCell ref="N65:O65"/>
    <mergeCell ref="B41:C41"/>
    <mergeCell ref="D41:E41"/>
    <mergeCell ref="F41:G41"/>
    <mergeCell ref="H41:I41"/>
    <mergeCell ref="J41:K41"/>
    <mergeCell ref="L41:M41"/>
    <mergeCell ref="N10:O10"/>
    <mergeCell ref="B10:C10"/>
    <mergeCell ref="D10:E10"/>
    <mergeCell ref="F10:G10"/>
    <mergeCell ref="H10:I10"/>
    <mergeCell ref="J10:K10"/>
    <mergeCell ref="L10:M10"/>
  </mergeCells>
  <phoneticPr fontId="16" type="noConversion"/>
  <hyperlinks>
    <hyperlink ref="O56" r:id="rId1"/>
    <hyperlink ref="B42" r:id="rId2"/>
    <hyperlink ref="B11" r:id="rId3"/>
    <hyperlink ref="B36" r:id="rId4"/>
    <hyperlink ref="B35" r:id="rId5"/>
    <hyperlink ref="B56" r:id="rId6"/>
  </hyperlinks>
  <pageMargins left="0.7" right="0.7" top="0.75" bottom="0.75" header="0.3" footer="0.3"/>
  <pageSetup orientation="landscape" horizontalDpi="4294967292" verticalDpi="4294967292" r:id="rId7"/>
  <headerFooter>
    <oddHeader>&amp;LA New Dataset on Mobile Phone _x000D_Patent License Royalties&amp;C&amp;A&amp;RAugust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12:A41"/>
  <sheetViews>
    <sheetView showGridLines="0" view="pageLayout" topLeftCell="A26" workbookViewId="0">
      <selection activeCell="A53" sqref="A53"/>
    </sheetView>
  </sheetViews>
  <sheetFormatPr baseColWidth="10" defaultRowHeight="15.6"/>
  <cols>
    <col min="1" max="1" width="75.796875" customWidth="1"/>
  </cols>
  <sheetData>
    <row r="12" spans="1:1" ht="25.8">
      <c r="A12" s="59" t="s">
        <v>516</v>
      </c>
    </row>
    <row r="13" spans="1:1" ht="25.8">
      <c r="A13" s="59" t="s">
        <v>755</v>
      </c>
    </row>
    <row r="15" spans="1:1">
      <c r="A15" s="538" t="s">
        <v>1429</v>
      </c>
    </row>
    <row r="16" spans="1:1">
      <c r="A16" s="538"/>
    </row>
    <row r="17" spans="1:1">
      <c r="A17" s="538"/>
    </row>
    <row r="18" spans="1:1">
      <c r="A18" s="538"/>
    </row>
    <row r="19" spans="1:1">
      <c r="A19" s="538"/>
    </row>
    <row r="20" spans="1:1">
      <c r="A20" s="538"/>
    </row>
    <row r="21" spans="1:1">
      <c r="A21" s="538"/>
    </row>
    <row r="22" spans="1:1">
      <c r="A22" s="538"/>
    </row>
    <row r="23" spans="1:1">
      <c r="A23" s="538"/>
    </row>
    <row r="24" spans="1:1">
      <c r="A24" s="538"/>
    </row>
    <row r="25" spans="1:1">
      <c r="A25" s="538"/>
    </row>
    <row r="26" spans="1:1">
      <c r="A26" s="538"/>
    </row>
    <row r="27" spans="1:1">
      <c r="A27" s="538"/>
    </row>
    <row r="28" spans="1:1">
      <c r="A28" s="538"/>
    </row>
    <row r="29" spans="1:1">
      <c r="A29" s="538"/>
    </row>
    <row r="30" spans="1:1">
      <c r="A30" s="538"/>
    </row>
    <row r="31" spans="1:1">
      <c r="A31" s="538"/>
    </row>
    <row r="32" spans="1:1">
      <c r="A32" s="538"/>
    </row>
    <row r="33" spans="1:1">
      <c r="A33" s="538"/>
    </row>
    <row r="34" spans="1:1">
      <c r="A34" s="538"/>
    </row>
    <row r="35" spans="1:1">
      <c r="A35" s="538"/>
    </row>
    <row r="36" spans="1:1">
      <c r="A36" s="538"/>
    </row>
    <row r="37" spans="1:1">
      <c r="A37" s="538"/>
    </row>
    <row r="38" spans="1:1">
      <c r="A38" s="538"/>
    </row>
    <row r="39" spans="1:1">
      <c r="A39" s="538"/>
    </row>
    <row r="40" spans="1:1">
      <c r="A40" s="538"/>
    </row>
    <row r="41" spans="1:1">
      <c r="A41" s="538"/>
    </row>
  </sheetData>
  <mergeCells count="1">
    <mergeCell ref="A15:A41"/>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oddHeader>
    <oddFooter>&amp;LAlexander Galetovic, Stephen Haber, _x000D_and Lew Zaretzki</oddFooter>
  </headerFooter>
  <extLst>
    <ext xmlns:mx="http://schemas.microsoft.com/office/mac/excel/2008/main" uri="{64002731-A6B0-56B0-2670-7721B7C09600}">
      <mx:PLV Mode="1" OnePage="0" WScale="10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7"/>
  <sheetViews>
    <sheetView showGridLines="0" view="pageLayout" topLeftCell="A4" zoomScale="86" zoomScalePageLayoutView="86" workbookViewId="0">
      <selection activeCell="E26" sqref="E26"/>
    </sheetView>
  </sheetViews>
  <sheetFormatPr baseColWidth="10" defaultRowHeight="15.6"/>
  <cols>
    <col min="1" max="1" width="12" customWidth="1"/>
    <col min="2" max="2" width="17.5" bestFit="1" customWidth="1"/>
    <col min="3" max="3" width="15" customWidth="1"/>
    <col min="4" max="4" width="16.296875" customWidth="1"/>
    <col min="5" max="5" width="48" style="255" customWidth="1"/>
  </cols>
  <sheetData>
    <row r="2" spans="1:5">
      <c r="A2" s="143" t="s">
        <v>430</v>
      </c>
    </row>
    <row r="3" spans="1:5" ht="18">
      <c r="A3" s="53" t="str">
        <f>CONCATENATE(VLOOKUP($A$2,'Table of Contents'!$B:$E,4,FALSE)," ",$A$2)</f>
        <v>2.1 Qualcomm</v>
      </c>
    </row>
    <row r="4" spans="1:5">
      <c r="A4" t="str">
        <f>VLOOKUP($A$2,'Table of Contents'!$B:$E,3,FALSE)</f>
        <v>Public Corp</v>
      </c>
    </row>
    <row r="5" spans="1:5">
      <c r="A5" s="54" t="str">
        <f>VLOOKUP($A$2,'Table of Contents'!$B:$E,2,FALSE)</f>
        <v>Confirmed</v>
      </c>
    </row>
    <row r="7" spans="1:5" ht="30" customHeight="1">
      <c r="A7" s="548" t="s">
        <v>829</v>
      </c>
      <c r="B7" s="548"/>
      <c r="C7" s="548"/>
      <c r="D7" s="548"/>
      <c r="E7" s="548"/>
    </row>
    <row r="9" spans="1:5" ht="46.8">
      <c r="A9" s="51" t="s">
        <v>668</v>
      </c>
      <c r="B9" s="75" t="s">
        <v>825</v>
      </c>
      <c r="C9" s="75" t="s">
        <v>826</v>
      </c>
      <c r="D9" s="82" t="s">
        <v>674</v>
      </c>
      <c r="E9" s="272" t="s">
        <v>1</v>
      </c>
    </row>
    <row r="10" spans="1:5">
      <c r="A10" s="57">
        <v>2000</v>
      </c>
      <c r="B10" s="99">
        <v>705000000</v>
      </c>
      <c r="D10" s="97"/>
      <c r="E10" s="255" t="s">
        <v>672</v>
      </c>
    </row>
    <row r="11" spans="1:5">
      <c r="A11" s="57">
        <f>A10+1</f>
        <v>2001</v>
      </c>
      <c r="B11" s="99">
        <v>782000000</v>
      </c>
      <c r="C11" s="99"/>
      <c r="D11" s="271"/>
      <c r="E11" s="255" t="s">
        <v>526</v>
      </c>
    </row>
    <row r="12" spans="1:5">
      <c r="A12" s="57">
        <f t="shared" ref="A12:A25" si="0">A11+1</f>
        <v>2002</v>
      </c>
      <c r="B12" s="99">
        <v>847000000</v>
      </c>
      <c r="C12" s="99"/>
      <c r="D12" s="271"/>
      <c r="E12" s="255" t="s">
        <v>671</v>
      </c>
    </row>
    <row r="13" spans="1:5">
      <c r="A13" s="57">
        <f t="shared" si="0"/>
        <v>2003</v>
      </c>
      <c r="B13" s="99">
        <v>1000000000</v>
      </c>
      <c r="C13" s="99"/>
      <c r="D13" s="271"/>
      <c r="E13" s="255" t="s">
        <v>636</v>
      </c>
    </row>
    <row r="14" spans="1:5">
      <c r="A14" s="57">
        <f t="shared" si="0"/>
        <v>2004</v>
      </c>
      <c r="B14" s="99">
        <v>1331000000</v>
      </c>
      <c r="C14" s="99"/>
      <c r="D14" s="271"/>
      <c r="E14" s="255" t="s">
        <v>636</v>
      </c>
    </row>
    <row r="15" spans="1:5">
      <c r="A15" s="57">
        <f t="shared" si="0"/>
        <v>2005</v>
      </c>
      <c r="B15" s="99">
        <v>1839000000</v>
      </c>
      <c r="C15" s="99"/>
      <c r="D15" s="271"/>
      <c r="E15" s="255" t="s">
        <v>636</v>
      </c>
    </row>
    <row r="16" spans="1:5">
      <c r="A16" s="57">
        <f t="shared" si="0"/>
        <v>2006</v>
      </c>
      <c r="B16" s="99">
        <v>2467000000</v>
      </c>
      <c r="C16" s="99"/>
      <c r="D16" s="271"/>
      <c r="E16" s="255" t="s">
        <v>528</v>
      </c>
    </row>
    <row r="17" spans="1:5">
      <c r="A17" s="57">
        <f t="shared" si="0"/>
        <v>2007</v>
      </c>
      <c r="B17" s="99">
        <v>2772000000</v>
      </c>
      <c r="C17" s="99"/>
      <c r="D17" s="271"/>
      <c r="E17" s="255" t="s">
        <v>637</v>
      </c>
    </row>
    <row r="18" spans="1:5">
      <c r="A18" s="57">
        <f t="shared" si="0"/>
        <v>2008</v>
      </c>
      <c r="B18" s="99">
        <v>3622000000</v>
      </c>
      <c r="C18" s="99"/>
      <c r="D18" s="271"/>
      <c r="E18" s="255" t="s">
        <v>673</v>
      </c>
    </row>
    <row r="19" spans="1:5">
      <c r="A19" s="57">
        <f t="shared" si="0"/>
        <v>2009</v>
      </c>
      <c r="B19" s="99">
        <v>3605000000</v>
      </c>
      <c r="C19" s="99"/>
      <c r="D19" s="271"/>
      <c r="E19" s="255" t="s">
        <v>638</v>
      </c>
    </row>
    <row r="20" spans="1:5">
      <c r="A20" s="57">
        <f t="shared" si="0"/>
        <v>2010</v>
      </c>
      <c r="B20" s="99">
        <v>3659000000</v>
      </c>
      <c r="C20" s="99"/>
      <c r="D20" s="271"/>
      <c r="E20" s="255" t="s">
        <v>527</v>
      </c>
    </row>
    <row r="21" spans="1:5">
      <c r="A21" s="57">
        <f t="shared" si="0"/>
        <v>2011</v>
      </c>
      <c r="B21" s="99">
        <v>5422000000</v>
      </c>
      <c r="C21" s="99"/>
      <c r="D21" s="271"/>
      <c r="E21" s="255" t="s">
        <v>669</v>
      </c>
    </row>
    <row r="22" spans="1:5">
      <c r="A22" s="57">
        <f t="shared" si="0"/>
        <v>2012</v>
      </c>
      <c r="B22" s="99">
        <v>6327000000</v>
      </c>
      <c r="C22" s="99"/>
      <c r="D22" s="271"/>
      <c r="E22" s="255" t="s">
        <v>670</v>
      </c>
    </row>
    <row r="23" spans="1:5">
      <c r="A23" s="57">
        <f t="shared" si="0"/>
        <v>2013</v>
      </c>
      <c r="B23" s="99">
        <v>7554000000</v>
      </c>
      <c r="C23" s="99"/>
      <c r="D23" s="271"/>
      <c r="E23" s="255" t="s">
        <v>639</v>
      </c>
    </row>
    <row r="24" spans="1:5">
      <c r="A24" s="57">
        <f t="shared" si="0"/>
        <v>2014</v>
      </c>
      <c r="B24" s="99">
        <v>7569000000</v>
      </c>
      <c r="C24" s="99"/>
      <c r="D24" s="271"/>
      <c r="E24" s="255" t="s">
        <v>639</v>
      </c>
    </row>
    <row r="25" spans="1:5">
      <c r="A25" s="57">
        <f t="shared" si="0"/>
        <v>2015</v>
      </c>
      <c r="B25" s="99">
        <v>7947000000</v>
      </c>
      <c r="C25" s="263">
        <f>(200)*2.5*1000000</f>
        <v>500000000</v>
      </c>
      <c r="D25" s="271">
        <f>B25-C25</f>
        <v>7447000000</v>
      </c>
      <c r="E25" s="255" t="s">
        <v>899</v>
      </c>
    </row>
    <row r="26" spans="1:5">
      <c r="A26" s="259">
        <v>2016</v>
      </c>
      <c r="B26" s="99">
        <v>7664000000</v>
      </c>
      <c r="C26" s="270">
        <f>C25</f>
        <v>500000000</v>
      </c>
      <c r="D26" s="271">
        <f>B26-C26</f>
        <v>7164000000</v>
      </c>
      <c r="E26" s="255" t="s">
        <v>900</v>
      </c>
    </row>
    <row r="27" spans="1:5">
      <c r="D27" s="7"/>
    </row>
  </sheetData>
  <mergeCells count="1">
    <mergeCell ref="A7:E7"/>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showGridLines="0" view="pageLayout" topLeftCell="A12" zoomScale="85" zoomScalePageLayoutView="85" workbookViewId="0">
      <selection activeCell="B44" sqref="B44:G44"/>
    </sheetView>
  </sheetViews>
  <sheetFormatPr baseColWidth="10" defaultRowHeight="15.6"/>
  <cols>
    <col min="1" max="1" width="8" customWidth="1"/>
    <col min="2" max="2" width="18.69921875" customWidth="1"/>
    <col min="3" max="3" width="18" customWidth="1"/>
    <col min="4" max="4" width="17" customWidth="1"/>
    <col min="5" max="6" width="16.796875" customWidth="1"/>
    <col min="7" max="7" width="17.296875" customWidth="1"/>
    <col min="8" max="8" width="17.5" customWidth="1"/>
    <col min="9" max="9" width="16" customWidth="1"/>
    <col min="10" max="10" width="20.296875" customWidth="1"/>
    <col min="11" max="11" width="19.296875" customWidth="1"/>
    <col min="12" max="12" width="38" customWidth="1"/>
  </cols>
  <sheetData>
    <row r="2" spans="1:11">
      <c r="A2" s="143" t="s">
        <v>432</v>
      </c>
    </row>
    <row r="3" spans="1:11" ht="18">
      <c r="A3" s="53" t="str">
        <f>CONCATENATE(VLOOKUP($A$2,'Table of Contents'!$B:$E,4,FALSE)," ",$A$2)</f>
        <v>2.2 Ericsson</v>
      </c>
    </row>
    <row r="4" spans="1:11">
      <c r="A4" t="str">
        <f>VLOOKUP($A$2,'Table of Contents'!$B:$E,3,FALSE)</f>
        <v>Public Corp</v>
      </c>
    </row>
    <row r="5" spans="1:11">
      <c r="A5" s="54" t="str">
        <f>VLOOKUP($A$2,'Table of Contents'!$B:$E,2,FALSE)</f>
        <v>Confirmed</v>
      </c>
    </row>
    <row r="7" spans="1:11" ht="31.95" customHeight="1">
      <c r="A7" s="548" t="s">
        <v>828</v>
      </c>
      <c r="B7" s="548"/>
      <c r="C7" s="548"/>
      <c r="D7" s="548"/>
      <c r="E7" s="548"/>
      <c r="F7" s="548"/>
      <c r="G7" s="548"/>
    </row>
    <row r="8" spans="1:11" s="19" customFormat="1" ht="109.2">
      <c r="A8" s="75" t="s">
        <v>20</v>
      </c>
      <c r="B8" s="75" t="s">
        <v>631</v>
      </c>
      <c r="C8" s="75" t="s">
        <v>381</v>
      </c>
      <c r="D8" s="75" t="s">
        <v>382</v>
      </c>
      <c r="E8" s="75" t="s">
        <v>14</v>
      </c>
      <c r="F8" s="75" t="s">
        <v>13</v>
      </c>
      <c r="G8" s="75" t="s">
        <v>15</v>
      </c>
      <c r="H8" s="75" t="s">
        <v>984</v>
      </c>
      <c r="I8" s="82" t="s">
        <v>630</v>
      </c>
      <c r="J8" s="75" t="s">
        <v>6</v>
      </c>
      <c r="K8" s="75"/>
    </row>
    <row r="9" spans="1:11">
      <c r="A9" s="35">
        <f t="shared" ref="A9:A18" si="0">A10-1</f>
        <v>2004</v>
      </c>
      <c r="B9" s="316">
        <v>2488000000</v>
      </c>
      <c r="C9" s="4"/>
      <c r="D9" s="4"/>
      <c r="E9" s="4"/>
      <c r="F9" s="94"/>
      <c r="G9" s="94">
        <f>B9+F9</f>
        <v>2488000000</v>
      </c>
      <c r="H9" s="86">
        <v>7.3319999999999999</v>
      </c>
      <c r="I9" s="97">
        <f t="shared" ref="I9:I19" si="1">G9/H9</f>
        <v>339334424.4408074</v>
      </c>
      <c r="J9" s="360" t="s">
        <v>1448</v>
      </c>
    </row>
    <row r="10" spans="1:11">
      <c r="A10" s="35">
        <f>A11-1</f>
        <v>2005</v>
      </c>
      <c r="B10" s="316">
        <v>3888000000</v>
      </c>
      <c r="C10" s="4"/>
      <c r="D10" s="4"/>
      <c r="E10" s="4"/>
      <c r="F10" s="94"/>
      <c r="G10" s="94">
        <f t="shared" ref="G10:G21" si="2">B10+F10</f>
        <v>3888000000</v>
      </c>
      <c r="H10" s="86">
        <v>7.5170000000000003</v>
      </c>
      <c r="I10" s="97">
        <f t="shared" si="1"/>
        <v>517227617.40055871</v>
      </c>
      <c r="J10" t="s">
        <v>1449</v>
      </c>
    </row>
    <row r="11" spans="1:11">
      <c r="A11" s="35">
        <f t="shared" si="0"/>
        <v>2006</v>
      </c>
      <c r="B11" s="316">
        <v>5250000000</v>
      </c>
      <c r="C11" s="4"/>
      <c r="D11" s="4"/>
      <c r="E11" s="4"/>
      <c r="F11" s="94"/>
      <c r="G11" s="94">
        <f t="shared" si="2"/>
        <v>5250000000</v>
      </c>
      <c r="H11" s="86">
        <v>7.3098000000000001</v>
      </c>
      <c r="I11" s="97">
        <f t="shared" si="1"/>
        <v>718213904.62119341</v>
      </c>
      <c r="J11" t="s">
        <v>1449</v>
      </c>
    </row>
    <row r="12" spans="1:11">
      <c r="A12" s="35">
        <f t="shared" si="0"/>
        <v>2007</v>
      </c>
      <c r="B12" s="316">
        <v>6877000000</v>
      </c>
      <c r="C12" s="4"/>
      <c r="D12" s="4"/>
      <c r="E12" s="4"/>
      <c r="F12" s="94"/>
      <c r="G12" s="94">
        <f t="shared" si="2"/>
        <v>6877000000</v>
      </c>
      <c r="H12" s="86">
        <v>6.7232000000000003</v>
      </c>
      <c r="I12" s="97">
        <f t="shared" si="1"/>
        <v>1022876011.4231318</v>
      </c>
      <c r="J12" t="s">
        <v>1451</v>
      </c>
    </row>
    <row r="13" spans="1:11">
      <c r="A13" s="35">
        <f t="shared" si="0"/>
        <v>2008</v>
      </c>
      <c r="B13" s="316">
        <v>9106000000</v>
      </c>
      <c r="C13" s="316">
        <v>5000000000</v>
      </c>
      <c r="D13" s="316">
        <v>9106000000</v>
      </c>
      <c r="E13" s="318">
        <f>(D13-C13)/C13</f>
        <v>0.82120000000000004</v>
      </c>
      <c r="F13" s="316"/>
      <c r="G13" s="94">
        <f t="shared" si="2"/>
        <v>9106000000</v>
      </c>
      <c r="H13" s="86">
        <v>6.6424000000000003</v>
      </c>
      <c r="I13" s="97">
        <f t="shared" si="1"/>
        <v>1370890039.7446706</v>
      </c>
      <c r="J13" t="s">
        <v>1452</v>
      </c>
    </row>
    <row r="14" spans="1:11">
      <c r="A14" s="35">
        <f t="shared" si="0"/>
        <v>2009</v>
      </c>
      <c r="B14" s="316">
        <v>4481000000</v>
      </c>
      <c r="C14" s="317"/>
      <c r="D14" s="317"/>
      <c r="E14" s="317"/>
      <c r="F14" s="316">
        <f>B14*$E$13</f>
        <v>3679797200</v>
      </c>
      <c r="G14" s="94">
        <f t="shared" si="2"/>
        <v>8160797200</v>
      </c>
      <c r="H14" s="86">
        <v>7.6231999999999998</v>
      </c>
      <c r="I14" s="97">
        <f t="shared" si="1"/>
        <v>1070521198.4468465</v>
      </c>
      <c r="J14" t="s">
        <v>1453</v>
      </c>
    </row>
    <row r="15" spans="1:11">
      <c r="A15" s="35">
        <f t="shared" si="0"/>
        <v>2010</v>
      </c>
      <c r="B15" s="316">
        <v>4597000000</v>
      </c>
      <c r="C15" s="317"/>
      <c r="D15" s="317" t="s">
        <v>7</v>
      </c>
      <c r="E15" s="317"/>
      <c r="F15" s="316">
        <f t="shared" ref="F15:F17" si="3">B15*$E$13</f>
        <v>3775056400</v>
      </c>
      <c r="G15" s="94">
        <f t="shared" si="2"/>
        <v>8372056400</v>
      </c>
      <c r="H15" s="86">
        <v>7.1894999999999998</v>
      </c>
      <c r="I15" s="97">
        <f t="shared" si="1"/>
        <v>1164483816.6770985</v>
      </c>
      <c r="J15" t="s">
        <v>1454</v>
      </c>
    </row>
    <row r="16" spans="1:11">
      <c r="A16" s="35">
        <f t="shared" si="0"/>
        <v>2011</v>
      </c>
      <c r="B16" s="316">
        <v>6205000000</v>
      </c>
      <c r="C16" s="317"/>
      <c r="D16" s="317"/>
      <c r="E16" s="317"/>
      <c r="F16" s="316">
        <f t="shared" si="3"/>
        <v>5095546000</v>
      </c>
      <c r="G16" s="94">
        <f t="shared" si="2"/>
        <v>11300546000</v>
      </c>
      <c r="H16" s="86">
        <v>6.4263000000000003</v>
      </c>
      <c r="I16" s="97">
        <f t="shared" si="1"/>
        <v>1758484042.1393335</v>
      </c>
      <c r="J16" t="s">
        <v>1455</v>
      </c>
    </row>
    <row r="17" spans="1:10">
      <c r="A17" s="35">
        <f t="shared" si="0"/>
        <v>2012</v>
      </c>
      <c r="B17" s="316">
        <v>6619000000</v>
      </c>
      <c r="C17" s="317"/>
      <c r="D17" s="317"/>
      <c r="E17" s="317"/>
      <c r="F17" s="316">
        <f t="shared" si="3"/>
        <v>5435522800</v>
      </c>
      <c r="G17" s="94">
        <f t="shared" si="2"/>
        <v>12054522800</v>
      </c>
      <c r="H17" s="86">
        <v>6.7247000000000003</v>
      </c>
      <c r="I17" s="97">
        <f t="shared" si="1"/>
        <v>1792574062.7834699</v>
      </c>
      <c r="J17" t="s">
        <v>1456</v>
      </c>
    </row>
    <row r="18" spans="1:10">
      <c r="A18" s="35">
        <f t="shared" si="0"/>
        <v>2013</v>
      </c>
      <c r="B18" s="316">
        <v>10552000000</v>
      </c>
      <c r="C18" s="4"/>
      <c r="D18" s="4"/>
      <c r="E18" s="4"/>
      <c r="F18" s="94"/>
      <c r="G18" s="94">
        <f t="shared" si="2"/>
        <v>10552000000</v>
      </c>
      <c r="H18" s="86">
        <v>6.5152000000000001</v>
      </c>
      <c r="I18" s="97">
        <f t="shared" si="1"/>
        <v>1619597249.5088408</v>
      </c>
      <c r="J18" t="s">
        <v>1450</v>
      </c>
    </row>
    <row r="19" spans="1:10">
      <c r="A19" s="35">
        <f>A20-1</f>
        <v>2014</v>
      </c>
      <c r="B19" s="316">
        <v>9917000000</v>
      </c>
      <c r="C19" s="4"/>
      <c r="D19" s="4"/>
      <c r="E19" s="4"/>
      <c r="F19" s="94"/>
      <c r="G19" s="94">
        <f t="shared" si="2"/>
        <v>9917000000</v>
      </c>
      <c r="H19" s="86">
        <v>6.9222000000000001</v>
      </c>
      <c r="I19" s="97">
        <f t="shared" si="1"/>
        <v>1432637022.9117911</v>
      </c>
      <c r="J19" t="s">
        <v>1457</v>
      </c>
    </row>
    <row r="20" spans="1:10">
      <c r="A20" s="35">
        <v>2015</v>
      </c>
      <c r="B20" s="94">
        <v>14396000000</v>
      </c>
      <c r="C20" s="4"/>
      <c r="D20" s="4"/>
      <c r="E20" s="4"/>
      <c r="F20" s="94"/>
      <c r="G20" s="94">
        <f t="shared" si="2"/>
        <v>14396000000</v>
      </c>
      <c r="H20" s="86">
        <v>8.4642999999999997</v>
      </c>
      <c r="I20" s="97">
        <f>G20/H20</f>
        <v>1700790378.4128635</v>
      </c>
      <c r="J20" t="s">
        <v>1458</v>
      </c>
    </row>
    <row r="21" spans="1:10">
      <c r="A21" s="259">
        <v>2016</v>
      </c>
      <c r="B21" s="94">
        <v>10014000000</v>
      </c>
      <c r="G21" s="94">
        <f t="shared" si="2"/>
        <v>10014000000</v>
      </c>
      <c r="H21" s="86">
        <v>8.5959000000000003</v>
      </c>
      <c r="I21" s="97">
        <f>G21/H21</f>
        <v>1164973999.232192</v>
      </c>
      <c r="J21" s="262" t="s">
        <v>1459</v>
      </c>
    </row>
    <row r="26" spans="1:10">
      <c r="A26" t="s">
        <v>985</v>
      </c>
    </row>
    <row r="27" spans="1:10" s="360" customFormat="1"/>
    <row r="28" spans="1:10" s="360" customFormat="1">
      <c r="A28" s="360" t="s">
        <v>2</v>
      </c>
    </row>
    <row r="30" spans="1:10" ht="213" customHeight="1">
      <c r="A30" s="549" t="s">
        <v>1447</v>
      </c>
      <c r="B30" s="549"/>
      <c r="C30" s="549"/>
      <c r="D30" s="549"/>
      <c r="E30" s="549"/>
      <c r="F30" s="549"/>
      <c r="G30" s="549"/>
    </row>
    <row r="31" spans="1:10">
      <c r="C31" s="360"/>
      <c r="D31" s="360"/>
      <c r="E31" s="360"/>
      <c r="F31" s="360"/>
      <c r="G31" s="360"/>
    </row>
    <row r="32" spans="1:10" ht="79.8" customHeight="1">
      <c r="A32" s="499">
        <v>2005</v>
      </c>
      <c r="B32" s="538" t="s">
        <v>1461</v>
      </c>
      <c r="C32" s="538"/>
      <c r="D32" s="538"/>
      <c r="E32" s="538"/>
      <c r="F32" s="538"/>
      <c r="G32" s="538"/>
    </row>
    <row r="33" spans="1:7" s="360" customFormat="1" ht="16.8" customHeight="1">
      <c r="A33" s="499"/>
      <c r="B33" s="463"/>
      <c r="C33" s="463"/>
      <c r="D33" s="463"/>
      <c r="E33" s="463"/>
      <c r="F33" s="463"/>
      <c r="G33" s="463"/>
    </row>
    <row r="34" spans="1:7" ht="83.55" customHeight="1">
      <c r="A34" s="499">
        <v>2006</v>
      </c>
      <c r="B34" s="538" t="s">
        <v>1460</v>
      </c>
      <c r="C34" s="538"/>
      <c r="D34" s="538"/>
      <c r="E34" s="538"/>
      <c r="F34" s="538"/>
      <c r="G34" s="538"/>
    </row>
    <row r="35" spans="1:7" s="360" customFormat="1" ht="18" customHeight="1">
      <c r="A35" s="499"/>
      <c r="B35" s="463"/>
      <c r="C35" s="463"/>
      <c r="D35" s="463"/>
      <c r="E35" s="463"/>
      <c r="F35" s="463"/>
      <c r="G35" s="463"/>
    </row>
    <row r="36" spans="1:7" ht="49.2" customHeight="1">
      <c r="A36" s="499">
        <v>2007</v>
      </c>
      <c r="B36" s="538" t="s">
        <v>11</v>
      </c>
      <c r="C36" s="538"/>
      <c r="D36" s="538"/>
      <c r="E36" s="538"/>
      <c r="F36" s="538"/>
      <c r="G36" s="538"/>
    </row>
    <row r="37" spans="1:7" s="360" customFormat="1">
      <c r="A37" s="499"/>
      <c r="B37" s="469"/>
      <c r="C37" s="469"/>
      <c r="D37" s="469"/>
      <c r="E37" s="469"/>
      <c r="F37" s="469"/>
      <c r="G37" s="469"/>
    </row>
    <row r="38" spans="1:7" ht="98.55" customHeight="1">
      <c r="A38" s="499">
        <v>2008</v>
      </c>
      <c r="B38" s="538" t="s">
        <v>12</v>
      </c>
      <c r="C38" s="538"/>
      <c r="D38" s="538"/>
      <c r="E38" s="538"/>
      <c r="F38" s="538"/>
      <c r="G38" s="538"/>
    </row>
    <row r="39" spans="1:7" s="360" customFormat="1">
      <c r="A39" s="499"/>
      <c r="B39" s="469"/>
      <c r="C39" s="469"/>
      <c r="D39" s="469"/>
      <c r="E39" s="469"/>
      <c r="F39" s="469"/>
      <c r="G39" s="469"/>
    </row>
    <row r="40" spans="1:7" ht="125.55" customHeight="1">
      <c r="A40" s="499">
        <v>2009</v>
      </c>
      <c r="B40" s="538" t="s">
        <v>1463</v>
      </c>
      <c r="C40" s="538"/>
      <c r="D40" s="538"/>
      <c r="E40" s="538"/>
      <c r="F40" s="538"/>
      <c r="G40" s="538"/>
    </row>
    <row r="41" spans="1:7">
      <c r="A41" s="499"/>
      <c r="B41" s="469"/>
      <c r="C41" s="469"/>
      <c r="D41" s="469"/>
      <c r="E41" s="469"/>
      <c r="F41" s="469"/>
      <c r="G41" s="469"/>
    </row>
    <row r="42" spans="1:7">
      <c r="A42" s="499">
        <v>2011</v>
      </c>
      <c r="B42" s="469" t="s">
        <v>10</v>
      </c>
      <c r="C42" s="469"/>
      <c r="D42" s="469"/>
      <c r="E42" s="469"/>
      <c r="F42" s="469"/>
      <c r="G42" s="469"/>
    </row>
    <row r="43" spans="1:7">
      <c r="A43" s="499"/>
      <c r="B43" s="469"/>
      <c r="C43" s="469"/>
      <c r="D43" s="469"/>
      <c r="E43" s="469"/>
      <c r="F43" s="469"/>
      <c r="G43" s="469"/>
    </row>
    <row r="44" spans="1:7" ht="32.549999999999997" customHeight="1">
      <c r="A44" s="499">
        <v>2013</v>
      </c>
      <c r="B44" s="538" t="s">
        <v>1465</v>
      </c>
      <c r="C44" s="538"/>
      <c r="D44" s="538"/>
      <c r="E44" s="538"/>
      <c r="F44" s="538"/>
      <c r="G44" s="538"/>
    </row>
    <row r="45" spans="1:7" s="360" customFormat="1">
      <c r="A45" s="499"/>
      <c r="B45" s="469"/>
      <c r="C45" s="469"/>
      <c r="D45" s="469"/>
      <c r="E45" s="469"/>
      <c r="F45" s="469"/>
      <c r="G45" s="469"/>
    </row>
    <row r="46" spans="1:7" ht="94.2" customHeight="1">
      <c r="A46" s="499">
        <v>2014</v>
      </c>
      <c r="B46" s="538" t="s">
        <v>1462</v>
      </c>
      <c r="C46" s="538"/>
      <c r="D46" s="538"/>
      <c r="E46" s="538"/>
      <c r="F46" s="538"/>
      <c r="G46" s="538"/>
    </row>
    <row r="47" spans="1:7" ht="175.2" customHeight="1">
      <c r="A47" s="499">
        <v>2015</v>
      </c>
      <c r="B47" s="538" t="s">
        <v>1464</v>
      </c>
      <c r="C47" s="538"/>
      <c r="D47" s="538"/>
      <c r="E47" s="538"/>
      <c r="F47" s="538"/>
      <c r="G47" s="538"/>
    </row>
  </sheetData>
  <mergeCells count="10">
    <mergeCell ref="A7:G7"/>
    <mergeCell ref="A30:G30"/>
    <mergeCell ref="B32:G32"/>
    <mergeCell ref="B34:G34"/>
    <mergeCell ref="B47:G47"/>
    <mergeCell ref="B36:G36"/>
    <mergeCell ref="B38:G38"/>
    <mergeCell ref="B40:G40"/>
    <mergeCell ref="B44:G44"/>
    <mergeCell ref="B46:G46"/>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view="pageLayout" workbookViewId="0">
      <selection activeCell="A15" sqref="A15"/>
    </sheetView>
  </sheetViews>
  <sheetFormatPr baseColWidth="10" defaultRowHeight="15.6"/>
  <cols>
    <col min="1" max="1" width="75.5" customWidth="1"/>
  </cols>
  <sheetData>
    <row r="1" spans="1:1">
      <c r="A1" t="s">
        <v>1419</v>
      </c>
    </row>
    <row r="3" spans="1:1">
      <c r="A3" s="45" t="s">
        <v>478</v>
      </c>
    </row>
    <row r="4" spans="1:1">
      <c r="A4" s="45" t="s">
        <v>1420</v>
      </c>
    </row>
    <row r="5" spans="1:1">
      <c r="A5" s="45" t="s">
        <v>1421</v>
      </c>
    </row>
  </sheetData>
  <phoneticPr fontId="16" type="noConversion"/>
  <pageMargins left="0.7" right="0.7" top="0.75" bottom="0.75" header="0.3" footer="0.3"/>
  <pageSetup orientation="portrait" horizontalDpi="4294967292" verticalDpi="4294967292" r:id="rId1"/>
  <headerFooter>
    <oddHeader>&amp;C&amp;"-,Bold"&amp;A</oddHeader>
    <oddFooter>&amp;C&amp;P of &amp;N</oddFooter>
  </headerFooter>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4"/>
  <sheetViews>
    <sheetView showGridLines="0" view="pageLayout" topLeftCell="A27" workbookViewId="0">
      <selection activeCell="A34" sqref="A34:E34"/>
    </sheetView>
  </sheetViews>
  <sheetFormatPr baseColWidth="10" defaultRowHeight="15.6"/>
  <cols>
    <col min="1" max="1" width="10.69921875" customWidth="1"/>
    <col min="2" max="2" width="16.296875" customWidth="1"/>
    <col min="3" max="3" width="12.69921875" customWidth="1"/>
    <col min="4" max="4" width="16.296875" customWidth="1"/>
    <col min="5" max="5" width="56.296875" customWidth="1"/>
    <col min="6" max="6" width="20" customWidth="1"/>
  </cols>
  <sheetData>
    <row r="2" spans="1:5">
      <c r="A2" s="143" t="s">
        <v>5</v>
      </c>
    </row>
    <row r="3" spans="1:5" ht="18">
      <c r="A3" s="53" t="str">
        <f>CONCATENATE(VLOOKUP($A$2,'Table of Contents'!$B:$E,4,FALSE)," ",$A$2)</f>
        <v>2.3 Nokia</v>
      </c>
      <c r="B3" s="360"/>
      <c r="C3" s="360"/>
      <c r="D3" s="360"/>
      <c r="E3" s="360"/>
    </row>
    <row r="4" spans="1:5">
      <c r="A4" s="360" t="str">
        <f>VLOOKUP($A$2,'Table of Contents'!$B:$E,3,FALSE)</f>
        <v>Public Corp</v>
      </c>
      <c r="B4" s="360"/>
      <c r="C4" s="360"/>
      <c r="D4" s="360"/>
      <c r="E4" s="360"/>
    </row>
    <row r="5" spans="1:5">
      <c r="A5" s="54" t="str">
        <f>VLOOKUP($A$2,'Table of Contents'!$B:$E,2,FALSE)</f>
        <v>Confirmed</v>
      </c>
      <c r="B5" s="360"/>
      <c r="C5" s="360"/>
      <c r="D5" s="360"/>
      <c r="E5" s="360"/>
    </row>
    <row r="8" spans="1:5" ht="51" customHeight="1">
      <c r="A8" s="538" t="s">
        <v>827</v>
      </c>
      <c r="B8" s="538"/>
      <c r="C8" s="538"/>
      <c r="D8" s="538"/>
      <c r="E8" s="538"/>
    </row>
    <row r="10" spans="1:5">
      <c r="A10" s="2" t="s">
        <v>774</v>
      </c>
      <c r="B10" s="360"/>
      <c r="C10" s="360"/>
      <c r="D10" s="360"/>
      <c r="E10" s="360"/>
    </row>
    <row r="11" spans="1:5">
      <c r="A11" s="2"/>
      <c r="B11" s="360"/>
      <c r="C11" s="360"/>
      <c r="D11" s="360"/>
      <c r="E11" s="360"/>
    </row>
    <row r="12" spans="1:5" s="20" customFormat="1" ht="78">
      <c r="A12" s="89" t="s">
        <v>20</v>
      </c>
      <c r="B12" s="75" t="s">
        <v>629</v>
      </c>
      <c r="C12" s="75" t="s">
        <v>895</v>
      </c>
      <c r="D12" s="82" t="s">
        <v>628</v>
      </c>
      <c r="E12" s="75" t="s">
        <v>6</v>
      </c>
    </row>
    <row r="13" spans="1:5">
      <c r="A13" s="85">
        <v>2007</v>
      </c>
      <c r="B13" s="90"/>
      <c r="C13" s="470"/>
      <c r="D13" s="98"/>
      <c r="E13" s="360"/>
    </row>
    <row r="14" spans="1:5">
      <c r="A14" s="85">
        <v>2008</v>
      </c>
      <c r="B14" s="90"/>
      <c r="C14" s="470"/>
      <c r="D14" s="98"/>
      <c r="E14" s="360"/>
    </row>
    <row r="15" spans="1:5">
      <c r="A15" s="85">
        <v>2009</v>
      </c>
      <c r="B15" s="267">
        <v>500000000</v>
      </c>
      <c r="C15" s="268">
        <f>1/1.3955</f>
        <v>0.71658903618774639</v>
      </c>
      <c r="D15" s="93">
        <f t="shared" ref="D15:D22" si="0">B15/C15</f>
        <v>697750000</v>
      </c>
      <c r="E15" s="360" t="s">
        <v>9</v>
      </c>
    </row>
    <row r="16" spans="1:5">
      <c r="A16" s="85">
        <v>2010</v>
      </c>
      <c r="B16" s="267">
        <v>570000000</v>
      </c>
      <c r="C16" s="268">
        <f>1/1.3216</f>
        <v>0.75665859564164639</v>
      </c>
      <c r="D16" s="93">
        <f t="shared" si="0"/>
        <v>753312000.00000012</v>
      </c>
      <c r="E16" s="360" t="s">
        <v>8</v>
      </c>
    </row>
    <row r="17" spans="1:6">
      <c r="A17" s="85">
        <v>2011</v>
      </c>
      <c r="B17" s="267">
        <v>950000000</v>
      </c>
      <c r="C17" s="268">
        <f>1/1.3931</f>
        <v>0.71782355896920536</v>
      </c>
      <c r="D17" s="93">
        <f t="shared" si="0"/>
        <v>1323445000</v>
      </c>
      <c r="E17" s="360" t="s">
        <v>898</v>
      </c>
    </row>
    <row r="18" spans="1:6">
      <c r="A18" s="85">
        <v>2012</v>
      </c>
      <c r="B18" s="267">
        <v>534000000</v>
      </c>
      <c r="C18" s="268">
        <f>1/1.2859</f>
        <v>0.77766544832413098</v>
      </c>
      <c r="D18" s="93">
        <f t="shared" si="0"/>
        <v>686670600</v>
      </c>
      <c r="E18" s="360" t="s">
        <v>897</v>
      </c>
      <c r="F18" s="3"/>
    </row>
    <row r="19" spans="1:6">
      <c r="A19" s="85">
        <v>2013</v>
      </c>
      <c r="B19" s="267">
        <v>529000000</v>
      </c>
      <c r="C19" s="268">
        <f>1/1.3281</f>
        <v>0.75295534974775991</v>
      </c>
      <c r="D19" s="93">
        <f t="shared" si="0"/>
        <v>702564900</v>
      </c>
      <c r="E19" s="360" t="s">
        <v>897</v>
      </c>
      <c r="F19" s="3"/>
    </row>
    <row r="20" spans="1:6">
      <c r="A20" s="85">
        <v>2014</v>
      </c>
      <c r="B20" s="91">
        <v>632000000</v>
      </c>
      <c r="C20" s="268">
        <f>1/1.321</f>
        <v>0.75700227100681305</v>
      </c>
      <c r="D20" s="93">
        <f t="shared" si="0"/>
        <v>834872000</v>
      </c>
      <c r="E20" s="360" t="s">
        <v>896</v>
      </c>
      <c r="F20" s="3"/>
    </row>
    <row r="21" spans="1:6">
      <c r="A21" s="85">
        <v>2015</v>
      </c>
      <c r="B21" s="91">
        <v>1027000000</v>
      </c>
      <c r="C21" s="268">
        <f>1/1.1032</f>
        <v>0.90645395213923141</v>
      </c>
      <c r="D21" s="93">
        <f t="shared" si="0"/>
        <v>1132986400</v>
      </c>
      <c r="E21" s="360" t="s">
        <v>896</v>
      </c>
      <c r="F21" s="3"/>
    </row>
    <row r="22" spans="1:6">
      <c r="A22" s="85">
        <v>2016</v>
      </c>
      <c r="B22" s="91">
        <v>1053000000</v>
      </c>
      <c r="C22" s="269">
        <f>1/1.1029</f>
        <v>0.90670051681929464</v>
      </c>
      <c r="D22" s="93">
        <f t="shared" si="0"/>
        <v>1161353700</v>
      </c>
      <c r="E22" s="360" t="s">
        <v>896</v>
      </c>
    </row>
    <row r="28" spans="1:6">
      <c r="A28" s="75" t="s">
        <v>2</v>
      </c>
    </row>
    <row r="30" spans="1:6" ht="129.44999999999999" customHeight="1">
      <c r="A30" s="538" t="s">
        <v>1467</v>
      </c>
      <c r="B30" s="538"/>
      <c r="C30" s="538"/>
      <c r="D30" s="538"/>
      <c r="E30" s="538"/>
    </row>
    <row r="31" spans="1:6" s="360" customFormat="1" ht="13.8" customHeight="1">
      <c r="A31" s="463"/>
      <c r="B31" s="463"/>
      <c r="C31" s="463"/>
      <c r="D31" s="463"/>
      <c r="E31" s="463"/>
    </row>
    <row r="32" spans="1:6" s="464" customFormat="1" ht="99.45" customHeight="1">
      <c r="A32" s="538" t="s">
        <v>1466</v>
      </c>
      <c r="B32" s="538"/>
      <c r="C32" s="538"/>
      <c r="D32" s="538"/>
      <c r="E32" s="538"/>
    </row>
    <row r="33" spans="1:5" s="360" customFormat="1">
      <c r="A33" s="496"/>
      <c r="B33" s="496"/>
      <c r="C33" s="496"/>
      <c r="D33" s="496"/>
      <c r="E33" s="496"/>
    </row>
    <row r="34" spans="1:5" ht="161.55000000000001" customHeight="1">
      <c r="A34" s="538" t="s">
        <v>1510</v>
      </c>
      <c r="B34" s="538"/>
      <c r="C34" s="538"/>
      <c r="D34" s="538"/>
      <c r="E34" s="538"/>
    </row>
  </sheetData>
  <mergeCells count="4">
    <mergeCell ref="A8:E8"/>
    <mergeCell ref="A30:E30"/>
    <mergeCell ref="A32:E32"/>
    <mergeCell ref="A34:E34"/>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showGridLines="0" view="pageLayout" topLeftCell="A3" workbookViewId="0">
      <selection activeCell="E20" sqref="E20"/>
    </sheetView>
  </sheetViews>
  <sheetFormatPr baseColWidth="10" defaultRowHeight="15.6"/>
  <cols>
    <col min="2" max="2" width="16.296875" bestFit="1" customWidth="1"/>
    <col min="3" max="3" width="14.5" customWidth="1"/>
    <col min="4" max="4" width="14.19921875" customWidth="1"/>
    <col min="5" max="5" width="52.5" customWidth="1"/>
    <col min="7" max="7" width="34.796875" customWidth="1"/>
  </cols>
  <sheetData>
    <row r="2" spans="1:5">
      <c r="A2" s="143" t="s">
        <v>524</v>
      </c>
    </row>
    <row r="3" spans="1:5" ht="18">
      <c r="A3" s="53" t="str">
        <f>CONCATENATE(VLOOKUP($A$2,'Table of Contents'!$B:$E,4,FALSE)," ",$A$2)</f>
        <v>2.3.1 Alcatel-Lucent (Nokia)</v>
      </c>
    </row>
    <row r="4" spans="1:5">
      <c r="A4" t="str">
        <f>VLOOKUP($A$2,'Table of Contents'!$B:$E,3,FALSE)</f>
        <v>Public Corp</v>
      </c>
    </row>
    <row r="5" spans="1:5">
      <c r="A5" s="54" t="str">
        <f>VLOOKUP($A$2,'Table of Contents'!$B:$E,2,FALSE)</f>
        <v>Confirmed</v>
      </c>
    </row>
    <row r="6" spans="1:5">
      <c r="A6" s="54"/>
    </row>
    <row r="7" spans="1:5" ht="31.95" customHeight="1">
      <c r="A7" s="533" t="s">
        <v>830</v>
      </c>
      <c r="B7" s="533"/>
      <c r="C7" s="533"/>
      <c r="D7" s="533"/>
      <c r="E7" s="533"/>
    </row>
    <row r="9" spans="1:5" ht="51" customHeight="1">
      <c r="A9" s="75" t="s">
        <v>23</v>
      </c>
      <c r="B9" s="75" t="s">
        <v>627</v>
      </c>
      <c r="C9" s="75" t="s">
        <v>626</v>
      </c>
      <c r="D9" s="82" t="s">
        <v>625</v>
      </c>
      <c r="E9" s="78" t="s">
        <v>6</v>
      </c>
    </row>
    <row r="10" spans="1:5">
      <c r="A10" s="35">
        <f t="shared" ref="A10:A21" si="0">A11-1</f>
        <v>2002</v>
      </c>
      <c r="B10" s="84"/>
      <c r="C10" s="35"/>
      <c r="D10" s="83" t="s">
        <v>7</v>
      </c>
    </row>
    <row r="11" spans="1:5">
      <c r="A11" s="35">
        <f t="shared" si="0"/>
        <v>2003</v>
      </c>
      <c r="B11" s="84"/>
      <c r="C11" s="35"/>
      <c r="D11" s="83" t="s">
        <v>7</v>
      </c>
    </row>
    <row r="12" spans="1:5">
      <c r="A12" s="35">
        <f t="shared" si="0"/>
        <v>2004</v>
      </c>
      <c r="B12" s="84"/>
      <c r="C12" s="35"/>
      <c r="D12" s="83" t="s">
        <v>7</v>
      </c>
    </row>
    <row r="13" spans="1:5">
      <c r="A13" s="35">
        <f t="shared" si="0"/>
        <v>2005</v>
      </c>
      <c r="B13" s="84"/>
      <c r="C13" s="35"/>
      <c r="D13" s="83" t="s">
        <v>7</v>
      </c>
    </row>
    <row r="14" spans="1:5">
      <c r="A14" s="35">
        <f t="shared" si="0"/>
        <v>2006</v>
      </c>
      <c r="B14" s="84"/>
      <c r="C14" s="35"/>
      <c r="D14" s="83" t="s">
        <v>7</v>
      </c>
    </row>
    <row r="15" spans="1:5">
      <c r="A15" s="35">
        <f t="shared" si="0"/>
        <v>2007</v>
      </c>
      <c r="B15" s="91">
        <v>139000000</v>
      </c>
      <c r="C15" s="87">
        <v>0.64910999999999996</v>
      </c>
      <c r="D15" s="93">
        <f t="shared" ref="D15:D22" si="1">B15/C15</f>
        <v>214139360.04683337</v>
      </c>
      <c r="E15" t="s">
        <v>1469</v>
      </c>
    </row>
    <row r="16" spans="1:5">
      <c r="A16" s="35">
        <f t="shared" si="0"/>
        <v>2008</v>
      </c>
      <c r="B16" s="91">
        <v>235000000</v>
      </c>
      <c r="C16" s="87">
        <v>0.71836800000000001</v>
      </c>
      <c r="D16" s="93">
        <f t="shared" si="1"/>
        <v>327130384.42692327</v>
      </c>
      <c r="E16" t="s">
        <v>1470</v>
      </c>
    </row>
    <row r="17" spans="1:7">
      <c r="A17" s="35">
        <f t="shared" si="0"/>
        <v>2009</v>
      </c>
      <c r="B17" s="91">
        <v>178000000</v>
      </c>
      <c r="C17" s="88">
        <v>0.69750000000000001</v>
      </c>
      <c r="D17" s="93">
        <f t="shared" si="1"/>
        <v>255197132.61648744</v>
      </c>
      <c r="E17" t="s">
        <v>1475</v>
      </c>
    </row>
    <row r="18" spans="1:7">
      <c r="A18" s="35">
        <f t="shared" si="0"/>
        <v>2010</v>
      </c>
      <c r="B18" s="91">
        <v>136000000</v>
      </c>
      <c r="C18" s="88">
        <v>0.74616300000000002</v>
      </c>
      <c r="D18" s="93">
        <f t="shared" si="1"/>
        <v>182265805.19269916</v>
      </c>
      <c r="E18" t="s">
        <v>1468</v>
      </c>
    </row>
    <row r="19" spans="1:7">
      <c r="A19" s="35">
        <f t="shared" si="0"/>
        <v>2011</v>
      </c>
      <c r="B19" s="91">
        <v>136000000</v>
      </c>
      <c r="C19" s="88">
        <v>0.77166400000000002</v>
      </c>
      <c r="D19" s="93">
        <f t="shared" si="1"/>
        <v>176242509.69333804</v>
      </c>
      <c r="E19" t="s">
        <v>1468</v>
      </c>
    </row>
    <row r="20" spans="1:7">
      <c r="A20" s="35">
        <f t="shared" si="0"/>
        <v>2012</v>
      </c>
      <c r="B20" s="91">
        <v>112000000</v>
      </c>
      <c r="C20" s="88">
        <v>0.75845799999999997</v>
      </c>
      <c r="D20" s="93">
        <f t="shared" si="1"/>
        <v>147668031.71698368</v>
      </c>
      <c r="E20" t="s">
        <v>1471</v>
      </c>
      <c r="F20" s="79"/>
      <c r="G20" s="73"/>
    </row>
    <row r="21" spans="1:7">
      <c r="A21" s="35">
        <f t="shared" si="0"/>
        <v>2013</v>
      </c>
      <c r="B21" s="91">
        <v>77000000</v>
      </c>
      <c r="C21" s="88">
        <v>0.72589300000000001</v>
      </c>
      <c r="D21" s="93">
        <f t="shared" si="1"/>
        <v>106076239.88659486</v>
      </c>
      <c r="E21" t="s">
        <v>1472</v>
      </c>
    </row>
    <row r="22" spans="1:7">
      <c r="A22" s="35">
        <f>A23-1</f>
        <v>2014</v>
      </c>
      <c r="B22" s="91">
        <v>55000000</v>
      </c>
      <c r="C22" s="88">
        <v>0.82574800000000004</v>
      </c>
      <c r="D22" s="93">
        <f t="shared" si="1"/>
        <v>66606276.975542173</v>
      </c>
      <c r="E22" t="s">
        <v>1473</v>
      </c>
    </row>
    <row r="23" spans="1:7">
      <c r="A23" s="35">
        <v>2015</v>
      </c>
      <c r="B23" s="91">
        <v>56000000</v>
      </c>
      <c r="C23" s="88">
        <v>0.92093999999999998</v>
      </c>
      <c r="D23" s="93">
        <f>B23/C23</f>
        <v>60807435.880730562</v>
      </c>
      <c r="E23" t="s">
        <v>1473</v>
      </c>
    </row>
    <row r="24" spans="1:7">
      <c r="A24" s="259">
        <v>2016</v>
      </c>
      <c r="B24" s="91">
        <v>0</v>
      </c>
      <c r="C24" s="88">
        <v>0</v>
      </c>
      <c r="D24" s="325">
        <v>0</v>
      </c>
      <c r="E24" t="s">
        <v>1474</v>
      </c>
    </row>
    <row r="25" spans="1:7" s="301" customFormat="1">
      <c r="A25" s="302"/>
      <c r="B25" s="91"/>
      <c r="C25" s="88"/>
      <c r="D25" s="326"/>
    </row>
    <row r="26" spans="1:7" s="360" customFormat="1">
      <c r="A26" s="464" t="s">
        <v>1476</v>
      </c>
      <c r="B26" s="91"/>
      <c r="C26" s="88"/>
      <c r="D26" s="326"/>
    </row>
    <row r="27" spans="1:7">
      <c r="A27" s="33" t="s">
        <v>901</v>
      </c>
    </row>
    <row r="28" spans="1:7">
      <c r="A28" t="s">
        <v>902</v>
      </c>
    </row>
  </sheetData>
  <mergeCells count="1">
    <mergeCell ref="A7:E7"/>
  </mergeCells>
  <phoneticPr fontId="16" type="noConversion"/>
  <hyperlinks>
    <hyperlink ref="A27"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showGridLines="0" view="pageLayout" workbookViewId="0"/>
  </sheetViews>
  <sheetFormatPr baseColWidth="10" defaultRowHeight="15.6"/>
  <cols>
    <col min="1" max="1" width="10.296875" customWidth="1"/>
    <col min="2" max="4" width="16" bestFit="1" customWidth="1"/>
    <col min="5" max="6" width="15.296875" customWidth="1"/>
    <col min="7" max="7" width="17.296875" customWidth="1"/>
    <col min="18" max="18" width="16.19921875" customWidth="1"/>
    <col min="19" max="19" width="15.296875" bestFit="1" customWidth="1"/>
  </cols>
  <sheetData>
    <row r="2" spans="1:8">
      <c r="A2" s="143" t="s">
        <v>431</v>
      </c>
    </row>
    <row r="3" spans="1:8" ht="18">
      <c r="A3" s="53" t="str">
        <f>CONCATENATE(VLOOKUP($A$2,'Table of Contents'!$B:$E,4,FALSE)," ",$A$2)</f>
        <v>2.4 Interdigital</v>
      </c>
    </row>
    <row r="4" spans="1:8">
      <c r="A4" t="str">
        <f>VLOOKUP($A$2,'Table of Contents'!$B:$E,3,FALSE)</f>
        <v>Public Corp</v>
      </c>
    </row>
    <row r="5" spans="1:8">
      <c r="A5" s="54" t="str">
        <f>VLOOKUP($A$2,'Table of Contents'!$B:$E,2,FALSE)</f>
        <v>Confirmed</v>
      </c>
    </row>
    <row r="7" spans="1:8" ht="31.05" customHeight="1">
      <c r="A7" s="548" t="s">
        <v>831</v>
      </c>
      <c r="B7" s="548"/>
      <c r="C7" s="548"/>
      <c r="D7" s="548"/>
      <c r="E7" s="548"/>
      <c r="F7" s="548"/>
      <c r="G7" s="548"/>
    </row>
    <row r="9" spans="1:8" ht="46.8">
      <c r="A9" s="75" t="s">
        <v>20</v>
      </c>
      <c r="B9" s="75" t="s">
        <v>635</v>
      </c>
      <c r="C9" s="75" t="s">
        <v>632</v>
      </c>
      <c r="D9" s="75" t="s">
        <v>615</v>
      </c>
      <c r="E9" s="82" t="s">
        <v>633</v>
      </c>
      <c r="F9" s="75" t="s">
        <v>634</v>
      </c>
      <c r="G9" s="75" t="s">
        <v>2</v>
      </c>
      <c r="H9" s="78" t="s">
        <v>6</v>
      </c>
    </row>
    <row r="10" spans="1:8">
      <c r="A10" s="35">
        <v>2004</v>
      </c>
      <c r="B10" s="92">
        <v>103700000</v>
      </c>
      <c r="C10" s="92">
        <v>103400000</v>
      </c>
      <c r="D10" s="92">
        <v>0</v>
      </c>
      <c r="E10" s="93">
        <f t="shared" ref="E10:E22" si="0">SUM(C10:D10)</f>
        <v>103400000</v>
      </c>
      <c r="F10" s="92">
        <v>300000</v>
      </c>
      <c r="H10" s="79" t="s">
        <v>616</v>
      </c>
    </row>
    <row r="11" spans="1:8">
      <c r="A11" s="35">
        <f t="shared" ref="A11:A22" si="1">A10+1</f>
        <v>2005</v>
      </c>
      <c r="B11" s="92">
        <v>163100000</v>
      </c>
      <c r="C11" s="92">
        <v>144100000</v>
      </c>
      <c r="D11" s="92">
        <v>0</v>
      </c>
      <c r="E11" s="93">
        <f t="shared" si="0"/>
        <v>144100000</v>
      </c>
      <c r="F11" s="92">
        <v>19000000</v>
      </c>
      <c r="G11" s="1"/>
      <c r="H11" s="79" t="s">
        <v>617</v>
      </c>
    </row>
    <row r="12" spans="1:8">
      <c r="A12" s="35">
        <f t="shared" si="1"/>
        <v>2006</v>
      </c>
      <c r="B12" s="92">
        <v>480500000</v>
      </c>
      <c r="C12" s="92">
        <v>473600000</v>
      </c>
      <c r="D12" s="92">
        <v>0</v>
      </c>
      <c r="E12" s="93">
        <f t="shared" si="0"/>
        <v>473600000</v>
      </c>
      <c r="F12" s="92">
        <v>6900000</v>
      </c>
      <c r="G12" s="1" t="s">
        <v>4</v>
      </c>
      <c r="H12" s="79" t="s">
        <v>618</v>
      </c>
    </row>
    <row r="13" spans="1:8">
      <c r="A13" s="35">
        <f t="shared" si="1"/>
        <v>2007</v>
      </c>
      <c r="B13" s="92">
        <v>234232000</v>
      </c>
      <c r="C13" s="92">
        <v>230800000</v>
      </c>
      <c r="D13" s="92">
        <v>0</v>
      </c>
      <c r="E13" s="93">
        <f t="shared" si="0"/>
        <v>230800000</v>
      </c>
      <c r="F13" s="92">
        <v>3400000</v>
      </c>
      <c r="G13" s="1"/>
      <c r="H13" s="79" t="s">
        <v>619</v>
      </c>
    </row>
    <row r="14" spans="1:8">
      <c r="A14" s="35">
        <f t="shared" si="1"/>
        <v>2008</v>
      </c>
      <c r="B14" s="92">
        <v>228484000</v>
      </c>
      <c r="C14" s="92">
        <v>216500000</v>
      </c>
      <c r="D14" s="92">
        <v>0</v>
      </c>
      <c r="E14" s="93">
        <f t="shared" si="0"/>
        <v>216500000</v>
      </c>
      <c r="F14" s="92">
        <v>12000000</v>
      </c>
      <c r="G14" s="1"/>
      <c r="H14" s="79" t="s">
        <v>619</v>
      </c>
    </row>
    <row r="15" spans="1:8">
      <c r="A15" s="35">
        <f t="shared" si="1"/>
        <v>2009</v>
      </c>
      <c r="B15" s="92">
        <v>297400000</v>
      </c>
      <c r="C15" s="92">
        <v>287600000</v>
      </c>
      <c r="D15" s="92">
        <v>0</v>
      </c>
      <c r="E15" s="93">
        <f t="shared" si="0"/>
        <v>287600000</v>
      </c>
      <c r="F15" s="92">
        <v>9800000</v>
      </c>
      <c r="G15" s="1"/>
      <c r="H15" s="79" t="s">
        <v>620</v>
      </c>
    </row>
    <row r="16" spans="1:8">
      <c r="A16" s="35">
        <f t="shared" si="1"/>
        <v>2010</v>
      </c>
      <c r="B16" s="92">
        <v>394545000</v>
      </c>
      <c r="C16" s="92">
        <v>370231000</v>
      </c>
      <c r="D16" s="92">
        <v>0</v>
      </c>
      <c r="E16" s="93">
        <f t="shared" si="0"/>
        <v>370231000</v>
      </c>
      <c r="F16" s="92">
        <v>24314000</v>
      </c>
      <c r="G16" s="1"/>
      <c r="H16" s="79" t="s">
        <v>621</v>
      </c>
    </row>
    <row r="17" spans="1:8">
      <c r="A17" s="35">
        <f t="shared" si="1"/>
        <v>2011</v>
      </c>
      <c r="B17" s="92">
        <v>301742000</v>
      </c>
      <c r="C17" s="92">
        <v>295372000</v>
      </c>
      <c r="D17" s="92">
        <v>0</v>
      </c>
      <c r="E17" s="93">
        <f t="shared" si="0"/>
        <v>295372000</v>
      </c>
      <c r="F17" s="92">
        <v>6370000</v>
      </c>
      <c r="G17" s="1"/>
      <c r="H17" s="79" t="s">
        <v>622</v>
      </c>
    </row>
    <row r="18" spans="1:8">
      <c r="A18" s="35">
        <f t="shared" si="1"/>
        <v>2012</v>
      </c>
      <c r="B18" s="92">
        <v>663063000</v>
      </c>
      <c r="C18" s="92">
        <v>276547000</v>
      </c>
      <c r="D18" s="92">
        <v>384000000</v>
      </c>
      <c r="E18" s="93">
        <f t="shared" si="0"/>
        <v>660547000</v>
      </c>
      <c r="F18" s="92">
        <v>2516000</v>
      </c>
      <c r="G18" s="1" t="s">
        <v>3</v>
      </c>
      <c r="H18" s="79" t="s">
        <v>622</v>
      </c>
    </row>
    <row r="19" spans="1:8">
      <c r="A19" s="35">
        <f t="shared" si="1"/>
        <v>2013</v>
      </c>
      <c r="B19" s="92">
        <v>325361000</v>
      </c>
      <c r="C19" s="92">
        <v>264174000</v>
      </c>
      <c r="D19" s="92">
        <v>0</v>
      </c>
      <c r="E19" s="93">
        <f t="shared" si="0"/>
        <v>264174000</v>
      </c>
      <c r="F19" s="92">
        <v>61187000</v>
      </c>
      <c r="G19" s="1"/>
      <c r="H19" s="79" t="s">
        <v>623</v>
      </c>
    </row>
    <row r="20" spans="1:8">
      <c r="A20" s="35">
        <f t="shared" si="1"/>
        <v>2014</v>
      </c>
      <c r="B20" s="92">
        <v>415821000</v>
      </c>
      <c r="C20" s="92">
        <v>403389000</v>
      </c>
      <c r="D20" s="92">
        <v>1999000</v>
      </c>
      <c r="E20" s="93">
        <f t="shared" si="0"/>
        <v>405388000</v>
      </c>
      <c r="F20" s="92">
        <v>10433000</v>
      </c>
      <c r="G20" s="1"/>
      <c r="H20" s="79" t="s">
        <v>623</v>
      </c>
    </row>
    <row r="21" spans="1:8">
      <c r="A21" s="35">
        <f t="shared" si="1"/>
        <v>2015</v>
      </c>
      <c r="B21" s="92">
        <v>441435000</v>
      </c>
      <c r="C21" s="92">
        <v>432488000</v>
      </c>
      <c r="D21" s="92">
        <v>0</v>
      </c>
      <c r="E21" s="93">
        <f t="shared" si="0"/>
        <v>432488000</v>
      </c>
      <c r="F21" s="92">
        <v>8947000</v>
      </c>
      <c r="G21" s="1"/>
      <c r="H21" s="79" t="s">
        <v>624</v>
      </c>
    </row>
    <row r="22" spans="1:8">
      <c r="A22" s="259">
        <f t="shared" si="1"/>
        <v>2016</v>
      </c>
      <c r="B22" s="92">
        <v>665854000</v>
      </c>
      <c r="C22" s="92">
        <v>655360000</v>
      </c>
      <c r="E22" s="93">
        <f t="shared" si="0"/>
        <v>655360000</v>
      </c>
      <c r="F22" s="92">
        <v>10494000</v>
      </c>
      <c r="H22" s="266" t="s">
        <v>890</v>
      </c>
    </row>
    <row r="23" spans="1:8" s="257" customFormat="1">
      <c r="A23" s="259"/>
    </row>
    <row r="24" spans="1:8">
      <c r="A24" s="538" t="s">
        <v>733</v>
      </c>
      <c r="B24" s="538"/>
      <c r="C24" s="538"/>
      <c r="D24" s="538"/>
      <c r="E24" s="538"/>
      <c r="F24" s="538"/>
      <c r="G24" s="538"/>
    </row>
    <row r="25" spans="1:8">
      <c r="A25" s="538"/>
      <c r="B25" s="538"/>
      <c r="C25" s="538"/>
      <c r="D25" s="538"/>
      <c r="E25" s="538"/>
      <c r="F25" s="538"/>
      <c r="G25" s="538"/>
    </row>
    <row r="26" spans="1:8">
      <c r="A26" s="538"/>
      <c r="B26" s="538"/>
      <c r="C26" s="538"/>
      <c r="D26" s="538"/>
      <c r="E26" s="538"/>
      <c r="F26" s="538"/>
      <c r="G26" s="538"/>
    </row>
    <row r="27" spans="1:8">
      <c r="A27" s="538"/>
      <c r="B27" s="538"/>
      <c r="C27" s="538"/>
      <c r="D27" s="538"/>
      <c r="E27" s="538"/>
      <c r="F27" s="538"/>
      <c r="G27" s="538"/>
    </row>
  </sheetData>
  <mergeCells count="2">
    <mergeCell ref="A24:G27"/>
    <mergeCell ref="A7:G7"/>
  </mergeCells>
  <phoneticPr fontId="16" type="noConversion"/>
  <hyperlinks>
    <hyperlink ref="H22" r:id="rId1" display="Annual Report 2016, Consolidated Statements of Income, p44"/>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colBreaks count="1" manualBreakCount="1">
    <brk id="7" max="1048575" man="1"/>
  </colBreaks>
  <extLst>
    <ext xmlns:mx="http://schemas.microsoft.com/office/mac/excel/2008/main" uri="{64002731-A6B0-56B0-2670-7721B7C09600}">
      <mx:PLV Mode="1"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view="pageLayout" topLeftCell="A34" zoomScale="88" zoomScalePageLayoutView="88" workbookViewId="0">
      <selection activeCell="B42" sqref="B42"/>
    </sheetView>
  </sheetViews>
  <sheetFormatPr baseColWidth="10" defaultRowHeight="15.6"/>
  <cols>
    <col min="1" max="1" width="10.796875" customWidth="1"/>
    <col min="2" max="2" width="17" customWidth="1"/>
    <col min="3" max="3" width="84.19921875" customWidth="1"/>
  </cols>
  <sheetData>
    <row r="1" spans="1:3" s="360" customFormat="1">
      <c r="A1" s="143" t="s">
        <v>54</v>
      </c>
    </row>
    <row r="2" spans="1:3" ht="18">
      <c r="A2" s="53" t="str">
        <f>CONCATENATE(VLOOKUP($A$1,'Table of Contents'!$B:$E,4,FALSE)," ",$A$1)</f>
        <v>2.5 Microsoft</v>
      </c>
    </row>
    <row r="3" spans="1:3">
      <c r="A3" t="str">
        <f>VLOOKUP($A$1,'Table of Contents'!$B:$E,3,FALSE)</f>
        <v>Public Corp</v>
      </c>
    </row>
    <row r="4" spans="1:3">
      <c r="A4" s="54" t="str">
        <f>VLOOKUP($A$1,'Table of Contents'!$B:$E,2,FALSE)</f>
        <v>Documented</v>
      </c>
    </row>
    <row r="6" spans="1:3" ht="49.95" customHeight="1">
      <c r="A6" s="538" t="s">
        <v>1436</v>
      </c>
      <c r="B6" s="538"/>
      <c r="C6" s="538"/>
    </row>
    <row r="8" spans="1:3">
      <c r="A8" t="s">
        <v>832</v>
      </c>
    </row>
    <row r="10" spans="1:3" ht="31.2">
      <c r="A10" s="75" t="s">
        <v>21</v>
      </c>
      <c r="B10" s="66" t="s">
        <v>373</v>
      </c>
      <c r="C10" s="66" t="s">
        <v>6</v>
      </c>
    </row>
    <row r="11" spans="1:3">
      <c r="A11" s="35"/>
    </row>
    <row r="12" spans="1:3">
      <c r="A12" s="35">
        <f t="shared" ref="A12:A16" si="0">A13-1</f>
        <v>2009</v>
      </c>
      <c r="C12" s="465"/>
    </row>
    <row r="13" spans="1:3">
      <c r="A13" s="35">
        <f t="shared" si="0"/>
        <v>2010</v>
      </c>
    </row>
    <row r="14" spans="1:3" ht="15.45" customHeight="1">
      <c r="A14" s="35">
        <f t="shared" si="0"/>
        <v>2011</v>
      </c>
      <c r="B14" s="196">
        <f>B15*0.44</f>
        <v>225500000</v>
      </c>
      <c r="C14" s="175" t="s">
        <v>19</v>
      </c>
    </row>
    <row r="15" spans="1:3">
      <c r="A15" s="35">
        <f t="shared" si="0"/>
        <v>2012</v>
      </c>
      <c r="B15" s="196">
        <f>B16-1200000000</f>
        <v>512500000</v>
      </c>
      <c r="C15" s="501" t="s">
        <v>18</v>
      </c>
    </row>
    <row r="16" spans="1:3">
      <c r="A16" s="35">
        <f t="shared" si="0"/>
        <v>2013</v>
      </c>
      <c r="B16" s="196">
        <f>822000000/0.48</f>
        <v>1712500000</v>
      </c>
      <c r="C16" s="501" t="s">
        <v>17</v>
      </c>
    </row>
    <row r="17" spans="1:3">
      <c r="A17" s="35">
        <f>A18-1</f>
        <v>2014</v>
      </c>
      <c r="B17" s="196">
        <f>B16+822000000</f>
        <v>2534500000</v>
      </c>
      <c r="C17" s="501" t="s">
        <v>16</v>
      </c>
    </row>
    <row r="18" spans="1:3">
      <c r="A18" s="35">
        <v>2015</v>
      </c>
      <c r="B18" s="196">
        <f>B17-1400000000</f>
        <v>1134500000</v>
      </c>
      <c r="C18" s="501" t="s">
        <v>16</v>
      </c>
    </row>
    <row r="19" spans="1:3">
      <c r="A19" s="259">
        <v>2016</v>
      </c>
      <c r="B19" s="1">
        <f>B18*(1-0.27)</f>
        <v>828185000</v>
      </c>
      <c r="C19" s="504" t="s">
        <v>993</v>
      </c>
    </row>
    <row r="20" spans="1:3" s="360" customFormat="1">
      <c r="A20" s="470"/>
      <c r="B20" s="1"/>
      <c r="C20" s="504"/>
    </row>
    <row r="22" spans="1:3" s="116" customFormat="1">
      <c r="A22" s="498" t="s">
        <v>2</v>
      </c>
    </row>
    <row r="23" spans="1:3" s="116" customFormat="1">
      <c r="A23" s="498"/>
      <c r="B23" s="360"/>
    </row>
    <row r="24" spans="1:3" s="116" customFormat="1" ht="35.549999999999997" customHeight="1">
      <c r="A24" s="502" t="s">
        <v>992</v>
      </c>
      <c r="B24" s="550" t="s">
        <v>1439</v>
      </c>
      <c r="C24" s="550"/>
    </row>
    <row r="25" spans="1:3" s="116" customFormat="1">
      <c r="A25" s="503"/>
    </row>
    <row r="26" spans="1:3" s="116" customFormat="1">
      <c r="A26" s="406">
        <v>2008</v>
      </c>
      <c r="B26" s="500" t="s">
        <v>1438</v>
      </c>
    </row>
    <row r="27" spans="1:3" s="116" customFormat="1">
      <c r="A27" s="503"/>
    </row>
    <row r="28" spans="1:3" s="116" customFormat="1">
      <c r="A28" s="470">
        <v>2010</v>
      </c>
      <c r="B28" s="551" t="s">
        <v>1437</v>
      </c>
      <c r="C28" s="551"/>
    </row>
    <row r="29" spans="1:3" s="116" customFormat="1"/>
    <row r="30" spans="1:3" ht="338.55" customHeight="1">
      <c r="A30" s="499">
        <v>2011</v>
      </c>
      <c r="B30" s="538" t="s">
        <v>1445</v>
      </c>
      <c r="C30" s="538"/>
    </row>
    <row r="31" spans="1:3" s="360" customFormat="1" ht="18.45" customHeight="1">
      <c r="A31" s="499"/>
      <c r="B31" s="463"/>
      <c r="C31" s="463"/>
    </row>
    <row r="32" spans="1:3" ht="113.55" customHeight="1">
      <c r="A32" s="497">
        <v>2012</v>
      </c>
      <c r="B32" s="538" t="s">
        <v>1444</v>
      </c>
      <c r="C32" s="538"/>
    </row>
    <row r="33" spans="1:3" s="360" customFormat="1" ht="16.8" customHeight="1">
      <c r="A33" s="497"/>
      <c r="B33" s="463"/>
      <c r="C33" s="463"/>
    </row>
    <row r="34" spans="1:3" ht="177" customHeight="1">
      <c r="A34" s="497">
        <v>2013</v>
      </c>
      <c r="B34" s="538" t="s">
        <v>1443</v>
      </c>
      <c r="C34" s="538"/>
    </row>
    <row r="35" spans="1:3" s="360" customFormat="1" ht="19.2" customHeight="1">
      <c r="A35" s="497"/>
      <c r="B35" s="463"/>
      <c r="C35" s="463"/>
    </row>
    <row r="36" spans="1:3" ht="127.2" customHeight="1">
      <c r="A36" s="497">
        <v>2014</v>
      </c>
      <c r="B36" s="538" t="s">
        <v>1442</v>
      </c>
      <c r="C36" s="538"/>
    </row>
    <row r="37" spans="1:3">
      <c r="A37" s="499"/>
      <c r="C37" s="446"/>
    </row>
    <row r="38" spans="1:3" ht="82.8" customHeight="1">
      <c r="A38" s="497">
        <v>2015</v>
      </c>
      <c r="B38" s="538" t="s">
        <v>1441</v>
      </c>
      <c r="C38" s="538"/>
    </row>
    <row r="40" spans="1:3" ht="61.8" customHeight="1">
      <c r="A40" s="497">
        <v>2016</v>
      </c>
      <c r="B40" s="538" t="s">
        <v>1440</v>
      </c>
      <c r="C40" s="538"/>
    </row>
  </sheetData>
  <mergeCells count="9">
    <mergeCell ref="A6:C6"/>
    <mergeCell ref="B36:C36"/>
    <mergeCell ref="B24:C24"/>
    <mergeCell ref="B40:C40"/>
    <mergeCell ref="B28:C28"/>
    <mergeCell ref="B38:C38"/>
    <mergeCell ref="B30:C30"/>
    <mergeCell ref="B32:C32"/>
    <mergeCell ref="B34:C34"/>
  </mergeCells>
  <phoneticPr fontId="16" type="noConversion"/>
  <hyperlinks>
    <hyperlink ref="A24" r:id="rId1"/>
    <hyperlink ref="C19" r:id="rId2"/>
    <hyperlink ref="A38" r:id="rId3" display="https://www.microsoft.com/investor/reports/ar15/index.html"/>
    <hyperlink ref="A40" r:id="rId4" display="https://www.microsoft.com/investor/reports/ar16/index.html"/>
    <hyperlink ref="A36" r:id="rId5" display="https://www.microsoft.com/investor/reports/ar14/index.html"/>
    <hyperlink ref="A32" r:id="rId6" display="https://view.officeapps.live.com/op/view.aspx?src=http://www.microsoft.com/investor/reports/ar12/docs/2012_Annual_Report.docx"/>
    <hyperlink ref="A34" r:id="rId7" display="https://view.officeapps.live.com/op/view.aspx?src=http://www.microsoft.com/investor/reports/ar13/docs/2013_Annual_Report.docx"/>
  </hyperlinks>
  <pageMargins left="0.7" right="0.7" top="0.75" bottom="0.75" header="0.3" footer="0.3"/>
  <pageSetup orientation="landscape" horizontalDpi="4294967292" verticalDpi="4294967292" r:id="rId8"/>
  <headerFooter>
    <oddHeader>&amp;LA New Dataset on Mobile Phone 
Patent License Royalties&amp;C&amp;"-,Negrita"&amp;A&amp;RAugust 2017 Update</oddHeader>
    <oddFooter>&amp;LAlexander Galetovic, Stephen Haber, 
and Lew Zaretzki&amp;C&amp;P of &amp;N</oddFooter>
  </headerFooter>
  <extLst>
    <ext xmlns:mx="http://schemas.microsoft.com/office/mac/excel/2008/main" uri="{64002731-A6B0-56B0-2670-7721B7C09600}">
      <mx:PLV Mode="1"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12:A41"/>
  <sheetViews>
    <sheetView showGridLines="0" view="pageLayout" topLeftCell="A4" workbookViewId="0">
      <selection activeCell="A15" sqref="A15:A41"/>
    </sheetView>
  </sheetViews>
  <sheetFormatPr baseColWidth="10" defaultRowHeight="15.6"/>
  <cols>
    <col min="1" max="1" width="76.796875" customWidth="1"/>
  </cols>
  <sheetData>
    <row r="12" spans="1:1" ht="25.8">
      <c r="A12" s="58" t="s">
        <v>517</v>
      </c>
    </row>
    <row r="13" spans="1:1" ht="25.8">
      <c r="A13" s="58" t="s">
        <v>759</v>
      </c>
    </row>
    <row r="15" spans="1:1">
      <c r="A15" s="538" t="s">
        <v>1430</v>
      </c>
    </row>
    <row r="16" spans="1:1">
      <c r="A16" s="538"/>
    </row>
    <row r="17" spans="1:1">
      <c r="A17" s="538"/>
    </row>
    <row r="18" spans="1:1">
      <c r="A18" s="538"/>
    </row>
    <row r="19" spans="1:1">
      <c r="A19" s="538"/>
    </row>
    <row r="20" spans="1:1">
      <c r="A20" s="538"/>
    </row>
    <row r="21" spans="1:1">
      <c r="A21" s="538"/>
    </row>
    <row r="22" spans="1:1">
      <c r="A22" s="538"/>
    </row>
    <row r="23" spans="1:1">
      <c r="A23" s="538"/>
    </row>
    <row r="24" spans="1:1">
      <c r="A24" s="538"/>
    </row>
    <row r="25" spans="1:1">
      <c r="A25" s="538"/>
    </row>
    <row r="26" spans="1:1">
      <c r="A26" s="538"/>
    </row>
    <row r="27" spans="1:1">
      <c r="A27" s="538"/>
    </row>
    <row r="28" spans="1:1">
      <c r="A28" s="538"/>
    </row>
    <row r="29" spans="1:1">
      <c r="A29" s="538"/>
    </row>
    <row r="30" spans="1:1">
      <c r="A30" s="538"/>
    </row>
    <row r="31" spans="1:1">
      <c r="A31" s="538"/>
    </row>
    <row r="32" spans="1:1">
      <c r="A32" s="538"/>
    </row>
    <row r="33" spans="1:1">
      <c r="A33" s="538"/>
    </row>
    <row r="34" spans="1:1">
      <c r="A34" s="538"/>
    </row>
    <row r="35" spans="1:1">
      <c r="A35" s="538"/>
    </row>
    <row r="36" spans="1:1">
      <c r="A36" s="538"/>
    </row>
    <row r="37" spans="1:1">
      <c r="A37" s="538"/>
    </row>
    <row r="38" spans="1:1">
      <c r="A38" s="538"/>
    </row>
    <row r="39" spans="1:1">
      <c r="A39" s="538"/>
    </row>
    <row r="40" spans="1:1">
      <c r="A40" s="538"/>
    </row>
    <row r="41" spans="1:1">
      <c r="A41" s="538"/>
    </row>
  </sheetData>
  <mergeCells count="1">
    <mergeCell ref="A15:A41"/>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oddHeader>
    <oddFooter>&amp;LAlexander Galetovic, Stephen Haber, _x000D_and Lew Zaretzki</oddFooter>
  </headerFooter>
  <extLst>
    <ext xmlns:mx="http://schemas.microsoft.com/office/mac/excel/2008/main" uri="{64002731-A6B0-56B0-2670-7721B7C09600}">
      <mx:PLV Mode="1"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showGridLines="0" view="pageLayout" topLeftCell="A6" zoomScale="107" zoomScalePageLayoutView="107" workbookViewId="0">
      <selection activeCell="A19" sqref="A19"/>
    </sheetView>
  </sheetViews>
  <sheetFormatPr baseColWidth="10" defaultRowHeight="15.6"/>
  <cols>
    <col min="1" max="1" width="7.5" customWidth="1"/>
    <col min="2" max="2" width="13.69921875" customWidth="1"/>
    <col min="3" max="3" width="14" bestFit="1" customWidth="1"/>
    <col min="4" max="4" width="14.5" bestFit="1" customWidth="1"/>
    <col min="5" max="5" width="9" customWidth="1"/>
    <col min="6" max="6" width="16" bestFit="1" customWidth="1"/>
  </cols>
  <sheetData>
    <row r="2" spans="1:7">
      <c r="A2" s="143" t="s">
        <v>267</v>
      </c>
    </row>
    <row r="3" spans="1:7" ht="18">
      <c r="A3" s="53" t="str">
        <f>CONCATENATE(VLOOKUP($A$2,'Table of Contents'!$B:$E,4,FALSE)," ",$A$2)</f>
        <v>3.1 Philips</v>
      </c>
    </row>
    <row r="4" spans="1:7">
      <c r="A4" t="str">
        <f>VLOOKUP($A$2,'Table of Contents'!$B:$E,3,FALSE)</f>
        <v>Public Corp</v>
      </c>
    </row>
    <row r="5" spans="1:7">
      <c r="A5" s="54" t="str">
        <f>VLOOKUP($A$2,'Table of Contents'!$B:$E,2,FALSE)</f>
        <v>Approximated</v>
      </c>
    </row>
    <row r="7" spans="1:7">
      <c r="A7" t="s">
        <v>640</v>
      </c>
    </row>
    <row r="8" spans="1:7">
      <c r="A8" t="s">
        <v>641</v>
      </c>
    </row>
    <row r="10" spans="1:7">
      <c r="A10" s="541" t="s">
        <v>1531</v>
      </c>
      <c r="B10" s="541"/>
      <c r="C10" s="541"/>
      <c r="D10" s="541"/>
      <c r="E10" s="541"/>
      <c r="F10" s="541"/>
      <c r="G10" s="541"/>
    </row>
    <row r="12" spans="1:7">
      <c r="A12" t="s">
        <v>474</v>
      </c>
    </row>
    <row r="13" spans="1:7">
      <c r="A13" t="s">
        <v>475</v>
      </c>
    </row>
    <row r="14" spans="1:7">
      <c r="A14" s="116" t="s">
        <v>1432</v>
      </c>
      <c r="B14" s="116"/>
      <c r="C14" s="116"/>
      <c r="D14" s="116"/>
      <c r="E14" s="116"/>
      <c r="F14" s="116"/>
      <c r="G14" s="116"/>
    </row>
    <row r="15" spans="1:7">
      <c r="A15" s="116" t="s">
        <v>1431</v>
      </c>
      <c r="B15" s="116"/>
      <c r="C15" s="116"/>
      <c r="D15" s="116"/>
      <c r="E15" s="116"/>
      <c r="F15" s="116"/>
      <c r="G15" s="116"/>
    </row>
    <row r="17" spans="1:6" ht="62.4">
      <c r="A17" s="75" t="s">
        <v>0</v>
      </c>
      <c r="B17" s="75" t="s">
        <v>644</v>
      </c>
      <c r="C17" s="75" t="s">
        <v>643</v>
      </c>
      <c r="D17" s="75" t="s">
        <v>6</v>
      </c>
      <c r="E17" s="75" t="s">
        <v>463</v>
      </c>
      <c r="F17" s="75" t="s">
        <v>642</v>
      </c>
    </row>
    <row r="18" spans="1:6">
      <c r="A18" s="35">
        <v>2015</v>
      </c>
      <c r="B18" s="100">
        <v>574000000</v>
      </c>
      <c r="C18" s="100">
        <f>B18*0.95*0.3</f>
        <v>163590000</v>
      </c>
      <c r="D18" t="s">
        <v>667</v>
      </c>
      <c r="E18" s="324">
        <v>0.92093999999999998</v>
      </c>
      <c r="F18" s="96">
        <f>C18/E18</f>
        <v>177633722.06658414</v>
      </c>
    </row>
    <row r="19" spans="1:6">
      <c r="A19" s="343">
        <v>2016</v>
      </c>
      <c r="B19" s="344">
        <f>B18</f>
        <v>574000000</v>
      </c>
      <c r="C19" s="344">
        <f>C18</f>
        <v>163590000</v>
      </c>
      <c r="D19" s="116" t="s">
        <v>1039</v>
      </c>
      <c r="E19" s="345">
        <f>E18</f>
        <v>0.92093999999999998</v>
      </c>
      <c r="F19" s="114">
        <f>F18</f>
        <v>177633722.06658414</v>
      </c>
    </row>
  </sheetData>
  <mergeCells count="1">
    <mergeCell ref="A10:G10"/>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1"/>
  <sheetViews>
    <sheetView showGridLines="0" view="pageLayout" topLeftCell="A31" workbookViewId="0">
      <selection activeCell="A51" sqref="A51"/>
    </sheetView>
  </sheetViews>
  <sheetFormatPr baseColWidth="10" defaultRowHeight="15.6"/>
  <cols>
    <col min="1" max="1" width="77" style="36" customWidth="1"/>
  </cols>
  <sheetData>
    <row r="2" spans="1:4">
      <c r="A2" s="188" t="s">
        <v>506</v>
      </c>
    </row>
    <row r="3" spans="1:4" ht="18">
      <c r="A3" s="53" t="str">
        <f>CONCATENATE(VLOOKUP($A$2,'Table of Contents'!$B:$E,4,FALSE)," ",$A$2)</f>
        <v>3.2 ATT 802.11</v>
      </c>
    </row>
    <row r="4" spans="1:4">
      <c r="A4" t="str">
        <f>VLOOKUP($A$2,'Table of Contents'!$B:$E,3,FALSE)</f>
        <v>Public Corp</v>
      </c>
    </row>
    <row r="5" spans="1:4">
      <c r="A5" s="54" t="str">
        <f>VLOOKUP($A$2,'Table of Contents'!$B:$E,2,FALSE)</f>
        <v>Approximated</v>
      </c>
    </row>
    <row r="6" spans="1:4">
      <c r="A6" s="42" t="s">
        <v>6</v>
      </c>
    </row>
    <row r="8" spans="1:4">
      <c r="A8" s="36" t="s">
        <v>393</v>
      </c>
    </row>
    <row r="9" spans="1:4" ht="37.200000000000003" customHeight="1">
      <c r="A9" s="538" t="s">
        <v>1446</v>
      </c>
      <c r="B9" s="538"/>
      <c r="C9" s="538"/>
      <c r="D9" s="538"/>
    </row>
    <row r="10" spans="1:4">
      <c r="A10" s="73"/>
    </row>
    <row r="11" spans="1:4">
      <c r="A11" s="74" t="s">
        <v>394</v>
      </c>
    </row>
    <row r="12" spans="1:4">
      <c r="A12" s="36" t="s">
        <v>395</v>
      </c>
    </row>
    <row r="13" spans="1:4">
      <c r="A13" s="36" t="s">
        <v>396</v>
      </c>
    </row>
    <row r="14" spans="1:4">
      <c r="A14" s="36" t="s">
        <v>397</v>
      </c>
    </row>
    <row r="15" spans="1:4">
      <c r="A15" s="36" t="s">
        <v>398</v>
      </c>
    </row>
    <row r="16" spans="1:4">
      <c r="A16" s="36" t="s">
        <v>920</v>
      </c>
    </row>
    <row r="17" spans="1:4">
      <c r="A17" s="36" t="s">
        <v>399</v>
      </c>
    </row>
    <row r="19" spans="1:4">
      <c r="A19" s="74" t="s">
        <v>400</v>
      </c>
    </row>
    <row r="20" spans="1:4" ht="31.2">
      <c r="A20" s="36" t="s">
        <v>610</v>
      </c>
    </row>
    <row r="22" spans="1:4" ht="33" customHeight="1">
      <c r="A22" s="538" t="s">
        <v>611</v>
      </c>
      <c r="B22" s="538"/>
      <c r="C22" s="538"/>
      <c r="D22" s="538"/>
    </row>
    <row r="23" spans="1:4" ht="17.55" customHeight="1">
      <c r="A23" s="538" t="s">
        <v>401</v>
      </c>
      <c r="B23" s="538"/>
      <c r="C23" s="538"/>
      <c r="D23" s="538"/>
    </row>
    <row r="25" spans="1:4">
      <c r="A25" s="62" t="s">
        <v>402</v>
      </c>
    </row>
    <row r="26" spans="1:4">
      <c r="A26" s="77" t="s">
        <v>612</v>
      </c>
    </row>
    <row r="27" spans="1:4">
      <c r="A27" s="77" t="s">
        <v>613</v>
      </c>
    </row>
    <row r="29" spans="1:4">
      <c r="A29" s="74" t="s">
        <v>404</v>
      </c>
    </row>
    <row r="30" spans="1:4" ht="31.2">
      <c r="A30" s="77" t="s">
        <v>609</v>
      </c>
    </row>
    <row r="32" spans="1:4">
      <c r="A32" s="74" t="s">
        <v>405</v>
      </c>
    </row>
    <row r="33" spans="1:4" ht="46.8">
      <c r="A33" s="36" t="s">
        <v>614</v>
      </c>
    </row>
    <row r="37" spans="1:4">
      <c r="A37" s="36" t="s">
        <v>924</v>
      </c>
    </row>
    <row r="38" spans="1:4">
      <c r="A38" s="36" t="s">
        <v>989</v>
      </c>
    </row>
    <row r="39" spans="1:4">
      <c r="A39" s="36" t="s">
        <v>406</v>
      </c>
    </row>
    <row r="40" spans="1:4">
      <c r="A40" s="10" t="s">
        <v>407</v>
      </c>
    </row>
    <row r="41" spans="1:4" s="257" customFormat="1">
      <c r="A41" s="10" t="s">
        <v>922</v>
      </c>
    </row>
    <row r="42" spans="1:4" s="257" customFormat="1">
      <c r="A42" s="62" t="s">
        <v>923</v>
      </c>
    </row>
    <row r="43" spans="1:4" s="257" customFormat="1">
      <c r="A43" s="10" t="s">
        <v>921</v>
      </c>
    </row>
    <row r="45" spans="1:4" s="360" customFormat="1" ht="18" customHeight="1">
      <c r="A45" s="538" t="s">
        <v>990</v>
      </c>
      <c r="B45" s="538"/>
      <c r="C45" s="538"/>
      <c r="D45" s="538"/>
    </row>
    <row r="46" spans="1:4" s="360" customFormat="1" ht="18" customHeight="1">
      <c r="A46" s="538" t="s">
        <v>991</v>
      </c>
      <c r="B46" s="538"/>
      <c r="C46" s="538"/>
      <c r="D46" s="538"/>
    </row>
    <row r="48" spans="1:4">
      <c r="A48" s="113" t="s">
        <v>951</v>
      </c>
    </row>
    <row r="50" spans="1:1">
      <c r="A50" s="75">
        <v>2016</v>
      </c>
    </row>
    <row r="51" spans="1:1">
      <c r="A51" s="505">
        <f>3.2*4*1000000</f>
        <v>12800000</v>
      </c>
    </row>
  </sheetData>
  <mergeCells count="5">
    <mergeCell ref="A9:D9"/>
    <mergeCell ref="A22:D22"/>
    <mergeCell ref="A23:D23"/>
    <mergeCell ref="A45:D45"/>
    <mergeCell ref="A46:D46"/>
  </mergeCells>
  <phoneticPr fontId="16" type="noConversion"/>
  <hyperlinks>
    <hyperlink ref="A6"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63"/>
  <sheetViews>
    <sheetView showGridLines="0" view="pageLayout" topLeftCell="A46" workbookViewId="0">
      <selection activeCell="A73" sqref="A73"/>
    </sheetView>
  </sheetViews>
  <sheetFormatPr baseColWidth="10" defaultRowHeight="15.6"/>
  <cols>
    <col min="1" max="1" width="17.5" style="36" customWidth="1"/>
    <col min="2" max="3" width="10.19921875" bestFit="1" customWidth="1"/>
    <col min="4" max="4" width="10.296875" customWidth="1"/>
    <col min="5" max="6" width="10.19921875" bestFit="1" customWidth="1"/>
    <col min="7" max="7" width="11.69921875" customWidth="1"/>
  </cols>
  <sheetData>
    <row r="2" spans="1:7">
      <c r="A2" s="188" t="s">
        <v>507</v>
      </c>
    </row>
    <row r="3" spans="1:7" ht="18">
      <c r="A3" s="555" t="str">
        <f>CONCATENATE(VLOOKUP($A$2,'Table of Contents'!$B:$E,4,FALSE)," ",$A$2)</f>
        <v>3.3 ATT MPEG4</v>
      </c>
      <c r="B3" s="555"/>
      <c r="C3" s="555"/>
      <c r="D3" s="555"/>
      <c r="E3" s="555"/>
      <c r="F3" s="555"/>
      <c r="G3" s="555"/>
    </row>
    <row r="4" spans="1:7">
      <c r="A4" t="str">
        <f>VLOOKUP($A$2,'Table of Contents'!$B:$E,3,FALSE)</f>
        <v>Public Corp</v>
      </c>
    </row>
    <row r="5" spans="1:7">
      <c r="A5" s="54" t="str">
        <f>VLOOKUP($A$2,'Table of Contents'!$B:$E,2,FALSE)</f>
        <v>Approximated</v>
      </c>
    </row>
    <row r="6" spans="1:7">
      <c r="A6" s="42" t="s">
        <v>6</v>
      </c>
    </row>
    <row r="7" spans="1:7">
      <c r="A7" s="556" t="s">
        <v>408</v>
      </c>
      <c r="B7" s="556"/>
      <c r="C7" s="556"/>
      <c r="D7" s="556"/>
      <c r="E7" s="556"/>
      <c r="F7" s="556"/>
      <c r="G7" s="556"/>
    </row>
    <row r="8" spans="1:7">
      <c r="A8" s="556"/>
      <c r="B8" s="556"/>
      <c r="C8" s="556"/>
      <c r="D8" s="556"/>
      <c r="E8" s="556"/>
      <c r="F8" s="556"/>
      <c r="G8" s="556"/>
    </row>
    <row r="9" spans="1:7" ht="52.95" customHeight="1">
      <c r="A9" s="548" t="s">
        <v>607</v>
      </c>
      <c r="B9" s="548"/>
      <c r="C9" s="548"/>
      <c r="D9" s="548"/>
      <c r="E9" s="548"/>
      <c r="F9" s="548"/>
      <c r="G9" s="548"/>
    </row>
    <row r="10" spans="1:7">
      <c r="A10" s="557" t="s">
        <v>409</v>
      </c>
      <c r="B10" s="533"/>
      <c r="C10" s="533"/>
      <c r="D10" s="533"/>
      <c r="E10" s="533"/>
      <c r="F10" s="533"/>
      <c r="G10" s="533"/>
    </row>
    <row r="12" spans="1:7">
      <c r="A12" s="556" t="s">
        <v>949</v>
      </c>
      <c r="B12" s="556"/>
      <c r="C12" s="556"/>
      <c r="D12" s="556"/>
      <c r="E12" s="556"/>
      <c r="F12" s="556"/>
      <c r="G12" s="556"/>
    </row>
    <row r="13" spans="1:7" s="79" customFormat="1" ht="82.95" customHeight="1">
      <c r="A13" s="548" t="s">
        <v>606</v>
      </c>
      <c r="B13" s="548"/>
      <c r="C13" s="548"/>
      <c r="D13" s="548"/>
      <c r="E13" s="548"/>
      <c r="F13" s="548"/>
      <c r="G13" s="548"/>
    </row>
    <row r="15" spans="1:7">
      <c r="A15" s="74" t="s">
        <v>410</v>
      </c>
    </row>
    <row r="16" spans="1:7">
      <c r="A16" s="548" t="s">
        <v>411</v>
      </c>
      <c r="B16" s="548"/>
      <c r="C16" s="548"/>
      <c r="D16" s="548"/>
      <c r="E16" s="548"/>
      <c r="F16" s="548"/>
      <c r="G16" s="548"/>
    </row>
    <row r="17" spans="1:17">
      <c r="A17" s="548" t="s">
        <v>412</v>
      </c>
      <c r="B17" s="548"/>
      <c r="C17" s="548"/>
      <c r="D17" s="548"/>
      <c r="E17" s="548"/>
      <c r="F17" s="548"/>
      <c r="G17" s="548"/>
    </row>
    <row r="18" spans="1:17">
      <c r="A18" s="119"/>
      <c r="B18" s="79"/>
      <c r="C18" s="79"/>
      <c r="D18" s="79"/>
      <c r="E18" s="79"/>
      <c r="F18" s="79"/>
      <c r="G18" s="79"/>
    </row>
    <row r="19" spans="1:17">
      <c r="A19" s="554" t="s">
        <v>413</v>
      </c>
      <c r="B19" s="554"/>
      <c r="C19" s="554"/>
      <c r="D19" s="554"/>
      <c r="E19" s="554"/>
      <c r="F19" s="554"/>
      <c r="G19" s="554"/>
    </row>
    <row r="20" spans="1:17">
      <c r="A20" s="548" t="s">
        <v>414</v>
      </c>
      <c r="B20" s="548"/>
      <c r="C20" s="548"/>
      <c r="D20" s="548"/>
      <c r="E20" s="548"/>
      <c r="F20" s="548"/>
      <c r="G20" s="548"/>
    </row>
    <row r="21" spans="1:17">
      <c r="A21" s="552" t="s">
        <v>415</v>
      </c>
      <c r="B21" s="552"/>
      <c r="C21" s="552"/>
      <c r="D21" s="552"/>
      <c r="E21" s="552"/>
      <c r="F21" s="552"/>
      <c r="G21" s="552"/>
    </row>
    <row r="22" spans="1:17">
      <c r="A22" s="552" t="s">
        <v>416</v>
      </c>
      <c r="B22" s="552"/>
      <c r="C22" s="552"/>
      <c r="D22" s="552"/>
      <c r="E22" s="552"/>
      <c r="F22" s="552"/>
      <c r="G22" s="552"/>
    </row>
    <row r="23" spans="1:17">
      <c r="A23" s="20"/>
    </row>
    <row r="24" spans="1:17">
      <c r="A24" s="553" t="s">
        <v>417</v>
      </c>
      <c r="B24" s="553"/>
      <c r="C24" s="553"/>
      <c r="D24" s="553"/>
      <c r="E24" s="553"/>
      <c r="F24" s="553"/>
      <c r="G24" s="553"/>
    </row>
    <row r="25" spans="1:17">
      <c r="A25" s="552" t="s">
        <v>415</v>
      </c>
      <c r="B25" s="552"/>
      <c r="C25" s="552"/>
      <c r="D25" s="552"/>
      <c r="E25" s="552"/>
      <c r="F25" s="552"/>
      <c r="G25" s="552"/>
    </row>
    <row r="26" spans="1:17">
      <c r="A26" s="552" t="s">
        <v>416</v>
      </c>
      <c r="B26" s="552"/>
      <c r="C26" s="552"/>
      <c r="D26" s="552"/>
      <c r="E26" s="552"/>
      <c r="F26" s="552"/>
      <c r="G26" s="552"/>
    </row>
    <row r="27" spans="1:17">
      <c r="A27" s="119"/>
      <c r="B27" s="79"/>
      <c r="C27" s="79"/>
      <c r="D27" s="79"/>
      <c r="E27" s="79"/>
      <c r="F27" s="79"/>
      <c r="G27" s="79"/>
    </row>
    <row r="28" spans="1:17">
      <c r="A28" s="553" t="s">
        <v>418</v>
      </c>
      <c r="B28" s="553"/>
      <c r="C28" s="553"/>
      <c r="D28" s="553"/>
      <c r="E28" s="553"/>
      <c r="F28" s="553"/>
      <c r="G28" s="553"/>
      <c r="Q28" s="5"/>
    </row>
    <row r="29" spans="1:17">
      <c r="A29" s="552" t="s">
        <v>415</v>
      </c>
      <c r="B29" s="552"/>
      <c r="C29" s="552"/>
      <c r="D29" s="552"/>
      <c r="E29" s="552"/>
      <c r="F29" s="552"/>
      <c r="G29" s="552"/>
    </row>
    <row r="30" spans="1:17">
      <c r="A30" s="552" t="s">
        <v>416</v>
      </c>
      <c r="B30" s="552"/>
      <c r="C30" s="552"/>
      <c r="D30" s="552"/>
      <c r="E30" s="552"/>
      <c r="F30" s="552"/>
      <c r="G30" s="552"/>
    </row>
    <row r="32" spans="1:17">
      <c r="A32" s="554" t="s">
        <v>419</v>
      </c>
      <c r="B32" s="554"/>
      <c r="C32" s="554"/>
      <c r="D32" s="554"/>
      <c r="E32" s="554"/>
      <c r="F32" s="554"/>
      <c r="G32" s="554"/>
    </row>
    <row r="33" spans="1:10">
      <c r="A33" s="548" t="s">
        <v>420</v>
      </c>
      <c r="B33" s="548"/>
      <c r="C33" s="548"/>
      <c r="D33" s="548"/>
      <c r="E33" s="548"/>
      <c r="F33" s="548"/>
      <c r="G33" s="548"/>
    </row>
    <row r="34" spans="1:10" s="79" customFormat="1">
      <c r="A34" s="548" t="s">
        <v>421</v>
      </c>
      <c r="B34" s="548"/>
      <c r="C34" s="548"/>
      <c r="D34" s="548"/>
      <c r="E34" s="548"/>
      <c r="F34" s="548"/>
      <c r="G34" s="548"/>
    </row>
    <row r="36" spans="1:10">
      <c r="A36" s="74" t="s">
        <v>422</v>
      </c>
    </row>
    <row r="37" spans="1:10" ht="33" customHeight="1">
      <c r="A37" s="548" t="s">
        <v>423</v>
      </c>
      <c r="B37" s="548"/>
      <c r="C37" s="548"/>
      <c r="D37" s="548"/>
      <c r="E37" s="548"/>
      <c r="F37" s="548"/>
      <c r="G37" s="548"/>
    </row>
    <row r="39" spans="1:10">
      <c r="A39" s="554" t="s">
        <v>926</v>
      </c>
      <c r="B39" s="554"/>
      <c r="C39" s="554"/>
      <c r="D39" s="554"/>
      <c r="E39" s="554"/>
      <c r="F39" s="554"/>
      <c r="G39" s="554"/>
    </row>
    <row r="40" spans="1:10">
      <c r="A40" s="548" t="s">
        <v>930</v>
      </c>
      <c r="B40" s="548"/>
      <c r="C40" s="548"/>
      <c r="D40" s="548"/>
      <c r="E40" s="548"/>
      <c r="F40" s="548"/>
      <c r="G40" s="548"/>
    </row>
    <row r="41" spans="1:10">
      <c r="A41" s="277" t="s">
        <v>931</v>
      </c>
      <c r="B41" s="278"/>
      <c r="C41" s="278"/>
      <c r="D41" t="s">
        <v>947</v>
      </c>
      <c r="E41" s="276"/>
      <c r="F41" s="276"/>
      <c r="G41" s="276"/>
    </row>
    <row r="42" spans="1:10" ht="16.05" customHeight="1">
      <c r="A42" s="277" t="s">
        <v>932</v>
      </c>
      <c r="B42" s="277"/>
      <c r="C42" s="277"/>
      <c r="D42" t="s">
        <v>948</v>
      </c>
      <c r="E42" s="62"/>
      <c r="F42" s="62"/>
      <c r="G42" s="62"/>
    </row>
    <row r="43" spans="1:10">
      <c r="A43" s="277" t="s">
        <v>933</v>
      </c>
      <c r="B43" s="278"/>
      <c r="C43" s="278"/>
      <c r="D43" s="277" t="s">
        <v>945</v>
      </c>
      <c r="E43" s="276"/>
      <c r="F43" s="276"/>
      <c r="G43" s="276"/>
    </row>
    <row r="44" spans="1:10" ht="16.05" customHeight="1">
      <c r="A44" s="277" t="s">
        <v>934</v>
      </c>
      <c r="B44" s="277"/>
      <c r="C44" s="277"/>
      <c r="D44" s="277" t="s">
        <v>946</v>
      </c>
      <c r="E44" s="62"/>
      <c r="F44" s="62"/>
      <c r="G44" s="62"/>
    </row>
    <row r="45" spans="1:10" ht="16.05" customHeight="1">
      <c r="A45" s="277" t="s">
        <v>935</v>
      </c>
      <c r="B45" s="277"/>
      <c r="C45" s="277"/>
      <c r="D45" s="277" t="s">
        <v>944</v>
      </c>
      <c r="E45" s="62"/>
      <c r="F45" s="62"/>
      <c r="G45" s="62"/>
    </row>
    <row r="46" spans="1:10" ht="16.05" customHeight="1">
      <c r="A46" s="277" t="s">
        <v>936</v>
      </c>
      <c r="B46" s="277"/>
      <c r="C46" s="277"/>
      <c r="D46" s="277" t="s">
        <v>943</v>
      </c>
      <c r="E46" s="62"/>
      <c r="F46" s="62"/>
      <c r="G46" s="62"/>
    </row>
    <row r="47" spans="1:10" ht="16.05" customHeight="1">
      <c r="A47" s="277" t="s">
        <v>424</v>
      </c>
      <c r="B47" s="277"/>
      <c r="C47" s="277"/>
      <c r="D47" s="277" t="s">
        <v>925</v>
      </c>
      <c r="E47" s="62"/>
      <c r="F47" s="62"/>
      <c r="G47" s="62"/>
    </row>
    <row r="48" spans="1:10" ht="16.05" customHeight="1">
      <c r="A48" s="277" t="s">
        <v>937</v>
      </c>
      <c r="B48" s="277"/>
      <c r="C48" s="277"/>
      <c r="D48" s="277" t="s">
        <v>941</v>
      </c>
      <c r="E48" s="62"/>
      <c r="F48" s="62"/>
      <c r="G48" s="62"/>
      <c r="J48" s="5"/>
    </row>
    <row r="49" spans="1:7">
      <c r="A49" s="277" t="s">
        <v>938</v>
      </c>
      <c r="B49" s="278"/>
      <c r="C49" s="278"/>
      <c r="D49" s="277" t="s">
        <v>942</v>
      </c>
      <c r="E49" s="276"/>
      <c r="F49" s="276"/>
      <c r="G49" s="276"/>
    </row>
    <row r="50" spans="1:7">
      <c r="A50" s="277" t="s">
        <v>939</v>
      </c>
      <c r="B50" s="278"/>
      <c r="C50" s="278"/>
      <c r="D50" s="277" t="s">
        <v>940</v>
      </c>
      <c r="E50" s="276"/>
      <c r="F50" s="276"/>
      <c r="G50" s="276"/>
    </row>
    <row r="51" spans="1:7">
      <c r="B51" s="276"/>
      <c r="C51" s="276"/>
      <c r="D51" s="276"/>
      <c r="E51" s="276"/>
      <c r="F51" s="276"/>
      <c r="G51" s="276"/>
    </row>
    <row r="52" spans="1:7" ht="16.05" customHeight="1">
      <c r="A52" s="255" t="s">
        <v>929</v>
      </c>
      <c r="B52" s="62"/>
      <c r="C52" s="62"/>
      <c r="D52" s="62"/>
      <c r="E52" s="62"/>
      <c r="F52" s="62"/>
      <c r="G52" s="62"/>
    </row>
    <row r="54" spans="1:7">
      <c r="A54" s="548" t="s">
        <v>928</v>
      </c>
      <c r="B54" s="548"/>
      <c r="C54" s="548"/>
      <c r="D54" s="548"/>
      <c r="E54" s="548"/>
      <c r="F54" s="548"/>
      <c r="G54" s="548"/>
    </row>
    <row r="55" spans="1:7" ht="49.95" customHeight="1">
      <c r="A55" s="548" t="s">
        <v>950</v>
      </c>
      <c r="B55" s="548"/>
      <c r="C55" s="548"/>
      <c r="D55" s="548"/>
      <c r="E55" s="548"/>
      <c r="F55" s="548"/>
      <c r="G55" s="548"/>
    </row>
    <row r="56" spans="1:7" s="79" customFormat="1" ht="67.05" customHeight="1">
      <c r="A56" s="548" t="s">
        <v>608</v>
      </c>
      <c r="B56" s="548"/>
      <c r="C56" s="548"/>
      <c r="D56" s="548"/>
      <c r="E56" s="548"/>
      <c r="F56" s="548"/>
      <c r="G56" s="548"/>
    </row>
    <row r="58" spans="1:7">
      <c r="A58" s="66" t="s">
        <v>0</v>
      </c>
      <c r="B58" s="66" t="s">
        <v>425</v>
      </c>
      <c r="C58" s="66" t="s">
        <v>927</v>
      </c>
      <c r="D58" s="66" t="s">
        <v>426</v>
      </c>
      <c r="E58" s="66" t="s">
        <v>33</v>
      </c>
      <c r="F58" s="66" t="s">
        <v>257</v>
      </c>
      <c r="G58" s="80" t="s">
        <v>30</v>
      </c>
    </row>
    <row r="59" spans="1:7">
      <c r="A59" s="71">
        <v>2012</v>
      </c>
      <c r="B59" s="1">
        <f>3750000+2000000</f>
        <v>5750000</v>
      </c>
      <c r="C59" s="1">
        <f>3750000+2000000</f>
        <v>5750000</v>
      </c>
      <c r="D59" s="1">
        <f>3750000+2000000</f>
        <v>5750000</v>
      </c>
      <c r="G59" s="81">
        <f>SUM(B59:E59)</f>
        <v>17250000</v>
      </c>
    </row>
    <row r="60" spans="1:7">
      <c r="A60" s="71">
        <v>2013</v>
      </c>
      <c r="B60" s="1">
        <f t="shared" ref="B60:F63" si="0">3750000+2000000</f>
        <v>5750000</v>
      </c>
      <c r="C60" s="1">
        <f t="shared" si="0"/>
        <v>5750000</v>
      </c>
      <c r="D60" s="1">
        <f t="shared" si="0"/>
        <v>5750000</v>
      </c>
      <c r="G60" s="81">
        <f>SUM(B60:E60)</f>
        <v>17250000</v>
      </c>
    </row>
    <row r="61" spans="1:7">
      <c r="A61" s="71">
        <v>2014</v>
      </c>
      <c r="B61" s="1">
        <f t="shared" si="0"/>
        <v>5750000</v>
      </c>
      <c r="C61" s="1">
        <f t="shared" si="0"/>
        <v>5750000</v>
      </c>
      <c r="D61" s="1">
        <f t="shared" si="0"/>
        <v>5750000</v>
      </c>
      <c r="G61" s="81">
        <f>SUM(B61:E61)</f>
        <v>17250000</v>
      </c>
    </row>
    <row r="62" spans="1:7">
      <c r="A62" s="71">
        <v>2015</v>
      </c>
      <c r="B62" s="1">
        <f t="shared" si="0"/>
        <v>5750000</v>
      </c>
      <c r="C62" s="1">
        <f t="shared" si="0"/>
        <v>5750000</v>
      </c>
      <c r="D62" s="1">
        <f t="shared" si="0"/>
        <v>5750000</v>
      </c>
      <c r="G62" s="81">
        <f>SUM(B62:E62)</f>
        <v>17250000</v>
      </c>
    </row>
    <row r="63" spans="1:7">
      <c r="A63" s="252">
        <v>2016</v>
      </c>
      <c r="B63" s="1">
        <f t="shared" si="0"/>
        <v>5750000</v>
      </c>
      <c r="C63" s="1">
        <f t="shared" si="0"/>
        <v>5750000</v>
      </c>
      <c r="D63" s="1">
        <f t="shared" si="0"/>
        <v>5750000</v>
      </c>
      <c r="E63" s="1">
        <f t="shared" si="0"/>
        <v>5750000</v>
      </c>
      <c r="F63" s="1">
        <f t="shared" si="0"/>
        <v>5750000</v>
      </c>
      <c r="G63" s="81">
        <f>SUM(B63:E63)</f>
        <v>23000000</v>
      </c>
    </row>
  </sheetData>
  <mergeCells count="27">
    <mergeCell ref="A3:G3"/>
    <mergeCell ref="A25:G25"/>
    <mergeCell ref="A26:G26"/>
    <mergeCell ref="A28:G28"/>
    <mergeCell ref="A29:G29"/>
    <mergeCell ref="A7:G8"/>
    <mergeCell ref="A12:G12"/>
    <mergeCell ref="A21:G21"/>
    <mergeCell ref="A22:G22"/>
    <mergeCell ref="A20:G20"/>
    <mergeCell ref="A19:G19"/>
    <mergeCell ref="A16:G16"/>
    <mergeCell ref="A17:G17"/>
    <mergeCell ref="A9:G9"/>
    <mergeCell ref="A13:G13"/>
    <mergeCell ref="A10:G10"/>
    <mergeCell ref="A30:G30"/>
    <mergeCell ref="A24:G24"/>
    <mergeCell ref="A32:G32"/>
    <mergeCell ref="A55:G55"/>
    <mergeCell ref="A56:G56"/>
    <mergeCell ref="A33:G33"/>
    <mergeCell ref="A34:G34"/>
    <mergeCell ref="A40:G40"/>
    <mergeCell ref="A39:G39"/>
    <mergeCell ref="A37:G37"/>
    <mergeCell ref="A54:G54"/>
  </mergeCells>
  <phoneticPr fontId="16" type="noConversion"/>
  <hyperlinks>
    <hyperlink ref="A10" r:id="rId1"/>
    <hyperlink ref="A6" r:id="rId2" display="Source: https://www.att.com/gen/sites/ipsales?pid=19116"/>
  </hyperlinks>
  <pageMargins left="0.7" right="0.7" top="0.75" bottom="0.75" header="0.3" footer="0.3"/>
  <pageSetup orientation="portrait" horizontalDpi="4294967292" verticalDpi="4294967292" r:id="rId3"/>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0"/>
  <sheetViews>
    <sheetView showGridLines="0" showWhiteSpace="0" view="pageLayout" topLeftCell="A13" workbookViewId="0">
      <selection activeCell="A41" sqref="A41"/>
    </sheetView>
  </sheetViews>
  <sheetFormatPr baseColWidth="10" defaultRowHeight="15.6"/>
  <cols>
    <col min="2" max="2" width="14.796875" customWidth="1"/>
    <col min="3" max="3" width="13" customWidth="1"/>
    <col min="4" max="4" width="12" customWidth="1"/>
    <col min="5" max="5" width="13.5" customWidth="1"/>
    <col min="6" max="6" width="20.796875" customWidth="1"/>
    <col min="7" max="7" width="25.296875" customWidth="1"/>
  </cols>
  <sheetData>
    <row r="2" spans="1:7">
      <c r="A2" s="143" t="s">
        <v>99</v>
      </c>
    </row>
    <row r="3" spans="1:7" ht="18">
      <c r="A3" s="53" t="str">
        <f>CONCATENATE(VLOOKUP($A$2,'Table of Contents'!$B:$E,4,FALSE)," ",$A$2)</f>
        <v>3.4 Broadcom</v>
      </c>
    </row>
    <row r="4" spans="1:7">
      <c r="A4" s="8" t="str">
        <f>VLOOKUP($A$2,'Table of Contents'!$B:$E,3,FALSE)</f>
        <v>Public Corp</v>
      </c>
    </row>
    <row r="5" spans="1:7">
      <c r="A5" s="54" t="str">
        <f>VLOOKUP($A$2,'Table of Contents'!$B:$E,2,FALSE)</f>
        <v>Researched</v>
      </c>
    </row>
    <row r="7" spans="1:7">
      <c r="A7" s="9" t="s">
        <v>505</v>
      </c>
    </row>
    <row r="8" spans="1:7" ht="48.45" customHeight="1">
      <c r="A8" s="538" t="s">
        <v>1235</v>
      </c>
      <c r="B8" s="538"/>
      <c r="C8" s="538"/>
      <c r="D8" s="538"/>
      <c r="E8" s="538"/>
      <c r="F8" s="538"/>
      <c r="G8" s="538"/>
    </row>
    <row r="9" spans="1:7" s="360" customFormat="1">
      <c r="A9" s="9"/>
    </row>
    <row r="10" spans="1:7">
      <c r="A10" s="9" t="s">
        <v>308</v>
      </c>
    </row>
    <row r="11" spans="1:7" s="360" customFormat="1" ht="66.45" customHeight="1">
      <c r="A11" s="558" t="s">
        <v>1482</v>
      </c>
      <c r="B11" s="558"/>
      <c r="C11" s="558"/>
      <c r="D11" s="558"/>
      <c r="E11" s="558"/>
      <c r="F11" s="558"/>
      <c r="G11" s="558"/>
    </row>
    <row r="13" spans="1:7">
      <c r="A13" s="9" t="s">
        <v>539</v>
      </c>
    </row>
    <row r="14" spans="1:7" ht="79.2" customHeight="1">
      <c r="A14" s="538" t="s">
        <v>1483</v>
      </c>
      <c r="B14" s="538"/>
      <c r="C14" s="538"/>
      <c r="D14" s="538"/>
      <c r="E14" s="538"/>
      <c r="F14" s="538"/>
      <c r="G14" s="538"/>
    </row>
    <row r="15" spans="1:7" ht="19.05" customHeight="1">
      <c r="A15" s="548"/>
      <c r="B15" s="548"/>
      <c r="C15" s="548"/>
      <c r="D15" s="548"/>
      <c r="E15" s="548"/>
      <c r="F15" s="548"/>
    </row>
    <row r="16" spans="1:7">
      <c r="A16" s="9" t="s">
        <v>538</v>
      </c>
    </row>
    <row r="17" spans="1:7" ht="67.2" customHeight="1">
      <c r="A17" s="538" t="s">
        <v>1484</v>
      </c>
      <c r="B17" s="538"/>
      <c r="C17" s="538"/>
      <c r="D17" s="538"/>
      <c r="E17" s="538"/>
      <c r="F17" s="538"/>
      <c r="G17" s="538"/>
    </row>
    <row r="18" spans="1:7" s="360" customFormat="1">
      <c r="G18" s="1"/>
    </row>
    <row r="19" spans="1:7" s="360" customFormat="1">
      <c r="G19" s="1"/>
    </row>
    <row r="20" spans="1:7" s="360" customFormat="1">
      <c r="G20" s="1"/>
    </row>
    <row r="21" spans="1:7" s="360" customFormat="1">
      <c r="A21" s="79" t="s">
        <v>1256</v>
      </c>
      <c r="G21" s="1"/>
    </row>
    <row r="22" spans="1:7" s="360" customFormat="1">
      <c r="A22" s="357"/>
      <c r="G22" s="1"/>
    </row>
    <row r="23" spans="1:7" ht="62.4">
      <c r="B23" s="75" t="s">
        <v>1251</v>
      </c>
      <c r="C23" s="75" t="s">
        <v>1252</v>
      </c>
      <c r="D23" s="75" t="s">
        <v>1253</v>
      </c>
      <c r="E23" s="66" t="s">
        <v>706</v>
      </c>
      <c r="F23" s="66" t="s">
        <v>2</v>
      </c>
      <c r="G23" s="1"/>
    </row>
    <row r="24" spans="1:7">
      <c r="A24" t="s">
        <v>705</v>
      </c>
      <c r="B24" s="96">
        <v>638</v>
      </c>
      <c r="C24" s="96">
        <v>31</v>
      </c>
      <c r="D24" s="96">
        <v>31</v>
      </c>
      <c r="E24" s="101">
        <f>D24/C24</f>
        <v>1</v>
      </c>
      <c r="F24" t="s">
        <v>1250</v>
      </c>
    </row>
    <row r="25" spans="1:7">
      <c r="A25" t="s">
        <v>704</v>
      </c>
      <c r="B25" s="96">
        <v>557</v>
      </c>
      <c r="C25" s="96">
        <v>87</v>
      </c>
      <c r="D25" s="96">
        <v>19</v>
      </c>
      <c r="E25" s="101">
        <f>D25/C25</f>
        <v>0.21839080459770116</v>
      </c>
      <c r="F25" s="355" t="s">
        <v>1249</v>
      </c>
    </row>
    <row r="26" spans="1:7">
      <c r="A26" t="s">
        <v>703</v>
      </c>
      <c r="B26" s="96">
        <v>562</v>
      </c>
      <c r="C26" s="96">
        <v>160</v>
      </c>
      <c r="D26" s="96"/>
      <c r="E26" s="101"/>
      <c r="F26" t="s">
        <v>1249</v>
      </c>
      <c r="G26" s="1"/>
    </row>
    <row r="27" spans="1:7">
      <c r="A27" t="s">
        <v>702</v>
      </c>
      <c r="B27" s="96">
        <v>629</v>
      </c>
      <c r="C27" s="96">
        <v>313</v>
      </c>
      <c r="E27" s="101"/>
      <c r="F27" s="355" t="s">
        <v>1248</v>
      </c>
      <c r="G27" s="362"/>
    </row>
    <row r="28" spans="1:7" s="355" customFormat="1">
      <c r="A28" s="355" t="s">
        <v>1008</v>
      </c>
      <c r="B28" s="96">
        <v>643</v>
      </c>
      <c r="C28" s="96">
        <v>450</v>
      </c>
      <c r="D28" s="361"/>
      <c r="E28" s="101"/>
      <c r="F28" s="355" t="s">
        <v>1248</v>
      </c>
      <c r="G28" s="1"/>
    </row>
    <row r="30" spans="1:7" ht="31.95" customHeight="1">
      <c r="A30" s="548" t="s">
        <v>1254</v>
      </c>
      <c r="B30" s="548"/>
      <c r="C30" s="548"/>
      <c r="D30" s="548"/>
      <c r="E30" s="548"/>
      <c r="F30" s="548"/>
    </row>
    <row r="31" spans="1:7" s="360" customFormat="1">
      <c r="A31" s="358" t="s">
        <v>703</v>
      </c>
      <c r="B31" s="358"/>
      <c r="C31" s="358"/>
      <c r="D31" s="363">
        <f>((C26-C25))+D25</f>
        <v>92</v>
      </c>
      <c r="E31" s="109">
        <f>D31/C26</f>
        <v>0.57499999999999996</v>
      </c>
      <c r="F31" s="358"/>
    </row>
    <row r="32" spans="1:7">
      <c r="A32" t="s">
        <v>702</v>
      </c>
      <c r="D32" s="363">
        <f>((C27-C26))+D31</f>
        <v>245</v>
      </c>
      <c r="E32" s="109">
        <f>D32/C27</f>
        <v>0.78274760383386577</v>
      </c>
    </row>
    <row r="33" spans="1:5">
      <c r="A33" t="s">
        <v>1008</v>
      </c>
      <c r="D33" s="363">
        <f>((C28-C27))+D32</f>
        <v>382</v>
      </c>
      <c r="E33" s="109">
        <f>D33/C28</f>
        <v>0.84888888888888892</v>
      </c>
    </row>
    <row r="34" spans="1:5" s="360" customFormat="1">
      <c r="D34" s="363"/>
      <c r="E34" s="109"/>
    </row>
    <row r="35" spans="1:5" s="360" customFormat="1">
      <c r="D35" s="363"/>
      <c r="E35" s="109"/>
    </row>
    <row r="36" spans="1:5" s="360" customFormat="1">
      <c r="D36" s="363"/>
      <c r="E36" s="109"/>
    </row>
    <row r="37" spans="1:5" s="360" customFormat="1">
      <c r="D37" s="363"/>
      <c r="E37" s="109"/>
    </row>
    <row r="38" spans="1:5" s="360" customFormat="1">
      <c r="D38" s="363"/>
      <c r="E38" s="109"/>
    </row>
    <row r="39" spans="1:5" s="360" customFormat="1">
      <c r="D39" s="363"/>
      <c r="E39" s="109"/>
    </row>
    <row r="40" spans="1:5" s="360" customFormat="1">
      <c r="D40" s="363"/>
      <c r="E40" s="109"/>
    </row>
    <row r="41" spans="1:5" s="360" customFormat="1">
      <c r="D41" s="363"/>
      <c r="E41" s="109"/>
    </row>
    <row r="42" spans="1:5" s="360" customFormat="1">
      <c r="D42" s="363"/>
      <c r="E42" s="109"/>
    </row>
    <row r="43" spans="1:5" s="360" customFormat="1">
      <c r="D43" s="363"/>
      <c r="E43" s="109"/>
    </row>
    <row r="44" spans="1:5" s="360" customFormat="1">
      <c r="D44" s="363"/>
      <c r="E44" s="109"/>
    </row>
    <row r="45" spans="1:5" s="360" customFormat="1">
      <c r="D45" s="363"/>
      <c r="E45" s="109"/>
    </row>
    <row r="46" spans="1:5" s="360" customFormat="1">
      <c r="D46" s="363"/>
      <c r="E46" s="109"/>
    </row>
    <row r="47" spans="1:5" s="360" customFormat="1">
      <c r="D47" s="363"/>
      <c r="E47" s="109"/>
    </row>
    <row r="48" spans="1:5" s="360" customFormat="1">
      <c r="D48" s="363"/>
      <c r="E48" s="109"/>
    </row>
    <row r="49" spans="1:8" s="360" customFormat="1">
      <c r="A49" s="360" t="s">
        <v>1255</v>
      </c>
      <c r="D49" s="363"/>
      <c r="E49" s="109"/>
    </row>
    <row r="51" spans="1:8" ht="46.95" customHeight="1">
      <c r="B51" s="75" t="s">
        <v>1242</v>
      </c>
      <c r="C51" s="75" t="s">
        <v>1246</v>
      </c>
      <c r="D51" s="75" t="s">
        <v>1241</v>
      </c>
      <c r="E51" s="75" t="s">
        <v>1245</v>
      </c>
      <c r="F51" s="82" t="s">
        <v>30</v>
      </c>
      <c r="G51" s="75" t="s">
        <v>6</v>
      </c>
      <c r="H51" s="75"/>
    </row>
    <row r="52" spans="1:8">
      <c r="A52" t="s">
        <v>1236</v>
      </c>
      <c r="B52" s="96">
        <v>0</v>
      </c>
      <c r="C52" s="96">
        <v>37.082999999999998</v>
      </c>
      <c r="D52" s="96">
        <v>31.8</v>
      </c>
      <c r="E52" s="96">
        <f t="shared" ref="E52:E60" si="0">C52-D52</f>
        <v>5.2829999999999977</v>
      </c>
      <c r="F52" s="97">
        <f>SUM(B52:C52)</f>
        <v>37.082999999999998</v>
      </c>
      <c r="G52" s="266" t="s">
        <v>1244</v>
      </c>
    </row>
    <row r="53" spans="1:8">
      <c r="A53" t="s">
        <v>1237</v>
      </c>
      <c r="B53" s="96">
        <v>0</v>
      </c>
      <c r="C53" s="96">
        <v>174</v>
      </c>
      <c r="D53" s="96">
        <v>149.19999999999999</v>
      </c>
      <c r="E53" s="96">
        <f t="shared" si="0"/>
        <v>24.800000000000011</v>
      </c>
      <c r="F53" s="97">
        <f t="shared" ref="F53:F61" si="1">SUM(B53:C53)</f>
        <v>174</v>
      </c>
      <c r="G53" s="33" t="s">
        <v>1243</v>
      </c>
    </row>
    <row r="54" spans="1:8">
      <c r="A54" t="s">
        <v>1238</v>
      </c>
      <c r="B54" s="96">
        <v>171</v>
      </c>
      <c r="C54" s="96">
        <v>48</v>
      </c>
      <c r="D54" s="96">
        <v>19</v>
      </c>
      <c r="E54" s="96">
        <f t="shared" si="0"/>
        <v>29</v>
      </c>
      <c r="F54" s="97">
        <f t="shared" si="1"/>
        <v>219</v>
      </c>
      <c r="G54" s="33" t="s">
        <v>1243</v>
      </c>
    </row>
    <row r="55" spans="1:8">
      <c r="A55" t="s">
        <v>1239</v>
      </c>
      <c r="B55" s="96">
        <v>206</v>
      </c>
      <c r="C55" s="96">
        <v>22.353000000000002</v>
      </c>
      <c r="D55" s="96">
        <v>0</v>
      </c>
      <c r="E55" s="96">
        <f t="shared" si="0"/>
        <v>22.353000000000002</v>
      </c>
      <c r="F55" s="97">
        <f t="shared" si="1"/>
        <v>228.35300000000001</v>
      </c>
      <c r="G55" s="33" t="s">
        <v>1243</v>
      </c>
    </row>
    <row r="56" spans="1:8">
      <c r="A56" t="s">
        <v>1240</v>
      </c>
      <c r="B56" s="96">
        <v>207</v>
      </c>
      <c r="C56" s="96">
        <v>22</v>
      </c>
      <c r="D56" s="96">
        <v>0</v>
      </c>
      <c r="E56" s="96">
        <f t="shared" si="0"/>
        <v>22</v>
      </c>
      <c r="F56" s="97">
        <f t="shared" si="1"/>
        <v>229</v>
      </c>
      <c r="G56" s="33" t="s">
        <v>1243</v>
      </c>
    </row>
    <row r="57" spans="1:8">
      <c r="A57" t="s">
        <v>705</v>
      </c>
      <c r="B57" s="96">
        <v>186</v>
      </c>
      <c r="C57" s="96">
        <v>27</v>
      </c>
      <c r="D57" s="96">
        <v>0</v>
      </c>
      <c r="E57" s="96">
        <f t="shared" si="0"/>
        <v>27</v>
      </c>
      <c r="F57" s="97">
        <f t="shared" si="1"/>
        <v>213</v>
      </c>
      <c r="G57" s="33" t="s">
        <v>1243</v>
      </c>
    </row>
    <row r="58" spans="1:8">
      <c r="A58" t="s">
        <v>704</v>
      </c>
      <c r="B58" s="96">
        <v>86</v>
      </c>
      <c r="C58" s="96">
        <v>39</v>
      </c>
      <c r="D58" s="96">
        <v>0</v>
      </c>
      <c r="E58" s="96">
        <f t="shared" si="0"/>
        <v>39</v>
      </c>
      <c r="F58" s="97">
        <f t="shared" si="1"/>
        <v>125</v>
      </c>
      <c r="G58" s="33" t="s">
        <v>1243</v>
      </c>
    </row>
    <row r="59" spans="1:8">
      <c r="A59" t="s">
        <v>703</v>
      </c>
      <c r="B59" s="96">
        <v>0</v>
      </c>
      <c r="C59" s="96">
        <v>45</v>
      </c>
      <c r="D59" s="96">
        <v>0</v>
      </c>
      <c r="E59" s="96">
        <f t="shared" si="0"/>
        <v>45</v>
      </c>
      <c r="F59" s="97">
        <f t="shared" si="1"/>
        <v>45</v>
      </c>
      <c r="G59" s="33" t="s">
        <v>1247</v>
      </c>
    </row>
    <row r="60" spans="1:8">
      <c r="A60" t="s">
        <v>702</v>
      </c>
      <c r="B60" s="96">
        <v>0</v>
      </c>
      <c r="C60" s="149"/>
      <c r="D60" s="96">
        <v>0</v>
      </c>
      <c r="E60" s="96">
        <f t="shared" si="0"/>
        <v>0</v>
      </c>
      <c r="F60" s="97">
        <f t="shared" si="1"/>
        <v>0</v>
      </c>
      <c r="G60" s="360" t="s">
        <v>1258</v>
      </c>
    </row>
    <row r="61" spans="1:8">
      <c r="A61" t="s">
        <v>1008</v>
      </c>
      <c r="B61" s="96">
        <v>0</v>
      </c>
      <c r="C61" s="149"/>
      <c r="D61" s="96">
        <v>0</v>
      </c>
      <c r="E61" s="96">
        <f>SUM(B61:D61)</f>
        <v>0</v>
      </c>
      <c r="F61" s="97">
        <f t="shared" si="1"/>
        <v>0</v>
      </c>
      <c r="G61" s="360" t="s">
        <v>1258</v>
      </c>
    </row>
    <row r="62" spans="1:8" s="360" customFormat="1">
      <c r="B62" s="96"/>
      <c r="C62" s="149"/>
      <c r="D62" s="96"/>
      <c r="E62" s="96"/>
      <c r="F62" s="140"/>
    </row>
    <row r="63" spans="1:8">
      <c r="A63" t="s">
        <v>1477</v>
      </c>
    </row>
    <row r="64" spans="1:8" s="360" customFormat="1">
      <c r="A64" t="s">
        <v>1478</v>
      </c>
      <c r="B64"/>
      <c r="C64"/>
      <c r="D64"/>
    </row>
    <row r="65" spans="1:1">
      <c r="A65" t="s">
        <v>1479</v>
      </c>
    </row>
    <row r="66" spans="1:1">
      <c r="A66" t="s">
        <v>1480</v>
      </c>
    </row>
    <row r="67" spans="1:1">
      <c r="A67" t="s">
        <v>1481</v>
      </c>
    </row>
    <row r="68" spans="1:1" s="360" customFormat="1"/>
    <row r="69" spans="1:1" s="360" customFormat="1"/>
    <row r="70" spans="1:1" s="360" customFormat="1"/>
    <row r="71" spans="1:1" s="360" customFormat="1"/>
    <row r="72" spans="1:1" s="360" customFormat="1"/>
    <row r="73" spans="1:1" s="360" customFormat="1"/>
    <row r="74" spans="1:1" s="360" customFormat="1"/>
    <row r="75" spans="1:1" s="360" customFormat="1"/>
    <row r="76" spans="1:1" s="360" customFormat="1"/>
    <row r="77" spans="1:1" s="360" customFormat="1"/>
    <row r="78" spans="1:1" s="360" customFormat="1"/>
    <row r="79" spans="1:1" s="360" customFormat="1">
      <c r="A79" s="360" t="s">
        <v>1257</v>
      </c>
    </row>
    <row r="80" spans="1:1" s="360" customFormat="1"/>
    <row r="81" spans="1:4">
      <c r="A81" s="360" t="s">
        <v>1236</v>
      </c>
      <c r="B81" s="96"/>
      <c r="C81" s="96">
        <f t="shared" ref="C81:C90" si="2">F52</f>
        <v>37.082999999999998</v>
      </c>
      <c r="D81" s="97">
        <f>SUM(B81:C81)</f>
        <v>37.082999999999998</v>
      </c>
    </row>
    <row r="82" spans="1:4">
      <c r="A82" s="360" t="s">
        <v>1237</v>
      </c>
      <c r="B82" s="96"/>
      <c r="C82" s="96">
        <f t="shared" si="2"/>
        <v>174</v>
      </c>
      <c r="D82" s="97">
        <f t="shared" ref="D82:D90" si="3">SUM(B82:C82)</f>
        <v>174</v>
      </c>
    </row>
    <row r="83" spans="1:4">
      <c r="A83" s="360" t="s">
        <v>1238</v>
      </c>
      <c r="B83" s="96"/>
      <c r="C83" s="96">
        <f t="shared" si="2"/>
        <v>219</v>
      </c>
      <c r="D83" s="97">
        <f t="shared" si="3"/>
        <v>219</v>
      </c>
    </row>
    <row r="84" spans="1:4">
      <c r="A84" s="360" t="s">
        <v>1239</v>
      </c>
      <c r="B84" s="96"/>
      <c r="C84" s="96">
        <f t="shared" si="2"/>
        <v>228.35300000000001</v>
      </c>
      <c r="D84" s="97">
        <f t="shared" si="3"/>
        <v>228.35300000000001</v>
      </c>
    </row>
    <row r="85" spans="1:4">
      <c r="A85" s="360" t="s">
        <v>1240</v>
      </c>
      <c r="B85" s="96"/>
      <c r="C85" s="96">
        <f t="shared" si="2"/>
        <v>229</v>
      </c>
      <c r="D85" s="97">
        <f t="shared" si="3"/>
        <v>229</v>
      </c>
    </row>
    <row r="86" spans="1:4">
      <c r="A86" s="360" t="s">
        <v>705</v>
      </c>
      <c r="B86" s="96">
        <f>D24</f>
        <v>31</v>
      </c>
      <c r="C86" s="96">
        <f t="shared" si="2"/>
        <v>213</v>
      </c>
      <c r="D86" s="97">
        <f t="shared" si="3"/>
        <v>244</v>
      </c>
    </row>
    <row r="87" spans="1:4">
      <c r="A87" s="360" t="s">
        <v>704</v>
      </c>
      <c r="B87" s="96">
        <f>D25</f>
        <v>19</v>
      </c>
      <c r="C87" s="96">
        <f t="shared" si="2"/>
        <v>125</v>
      </c>
      <c r="D87" s="97">
        <f t="shared" si="3"/>
        <v>144</v>
      </c>
    </row>
    <row r="88" spans="1:4">
      <c r="A88" s="360" t="s">
        <v>703</v>
      </c>
      <c r="B88" s="96">
        <f>D31</f>
        <v>92</v>
      </c>
      <c r="C88" s="96">
        <f t="shared" si="2"/>
        <v>45</v>
      </c>
      <c r="D88" s="97">
        <f t="shared" si="3"/>
        <v>137</v>
      </c>
    </row>
    <row r="89" spans="1:4">
      <c r="A89" s="360" t="s">
        <v>702</v>
      </c>
      <c r="B89" s="96">
        <f t="shared" ref="B89:B90" si="4">D32</f>
        <v>245</v>
      </c>
      <c r="C89" s="96">
        <f t="shared" si="2"/>
        <v>0</v>
      </c>
      <c r="D89" s="97">
        <f t="shared" si="3"/>
        <v>245</v>
      </c>
    </row>
    <row r="90" spans="1:4">
      <c r="A90" s="360" t="s">
        <v>1008</v>
      </c>
      <c r="B90" s="96">
        <f t="shared" si="4"/>
        <v>382</v>
      </c>
      <c r="C90" s="96">
        <f t="shared" si="2"/>
        <v>0</v>
      </c>
      <c r="D90" s="97">
        <f t="shared" si="3"/>
        <v>382</v>
      </c>
    </row>
  </sheetData>
  <mergeCells count="6">
    <mergeCell ref="A15:F15"/>
    <mergeCell ref="A30:F30"/>
    <mergeCell ref="A8:G8"/>
    <mergeCell ref="A14:G14"/>
    <mergeCell ref="A17:G17"/>
    <mergeCell ref="A11:G11"/>
  </mergeCells>
  <phoneticPr fontId="16" type="noConversion"/>
  <hyperlinks>
    <hyperlink ref="G53" r:id="rId1"/>
    <hyperlink ref="G54" r:id="rId2"/>
    <hyperlink ref="G55" r:id="rId3"/>
    <hyperlink ref="G56" r:id="rId4"/>
    <hyperlink ref="G57" r:id="rId5"/>
    <hyperlink ref="G58" r:id="rId6"/>
    <hyperlink ref="G52" r:id="rId7"/>
    <hyperlink ref="G59" r:id="rId8"/>
  </hyperlinks>
  <pageMargins left="0.7" right="0.7" top="0.75" bottom="0.75" header="0.3" footer="0.3"/>
  <pageSetup orientation="landscape" horizontalDpi="4294967292" verticalDpi="4294967292" r:id="rId9"/>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9"/>
  <sheetViews>
    <sheetView showGridLines="0" view="pageLayout" topLeftCell="A40" zoomScale="81" zoomScalePageLayoutView="81" workbookViewId="0">
      <selection activeCell="H67" sqref="H67"/>
    </sheetView>
  </sheetViews>
  <sheetFormatPr baseColWidth="10" defaultRowHeight="15.6"/>
  <cols>
    <col min="1" max="1" width="7.796875" customWidth="1"/>
    <col min="2" max="2" width="14.19921875" customWidth="1"/>
    <col min="3" max="3" width="15.19921875" customWidth="1"/>
    <col min="4" max="7" width="17.19921875" customWidth="1"/>
    <col min="8" max="8" width="16" customWidth="1"/>
    <col min="9" max="12" width="12.296875" customWidth="1"/>
    <col min="13" max="13" width="11.296875" bestFit="1" customWidth="1"/>
  </cols>
  <sheetData>
    <row r="2" spans="1:7">
      <c r="A2" s="143" t="s">
        <v>888</v>
      </c>
    </row>
    <row r="3" spans="1:7" ht="18">
      <c r="A3" s="53" t="str">
        <f>CONCATENATE(VLOOKUP($A$2,'Table of Contents'!$B:$E,4,FALSE)," ",$A$2)</f>
        <v>3.5 Xperi</v>
      </c>
    </row>
    <row r="4" spans="1:7">
      <c r="A4" t="str">
        <f>VLOOKUP($A$2,'Table of Contents'!$B:$E,3,FALSE)</f>
        <v>Public Corp</v>
      </c>
      <c r="B4" s="33"/>
    </row>
    <row r="5" spans="1:7">
      <c r="A5" s="54" t="str">
        <f>VLOOKUP($A$2,'Table of Contents'!$B:$E,2,FALSE)</f>
        <v>Approximated</v>
      </c>
      <c r="B5" s="33"/>
    </row>
    <row r="7" spans="1:7">
      <c r="A7" s="9" t="s">
        <v>505</v>
      </c>
    </row>
    <row r="8" spans="1:7" ht="16.05" customHeight="1">
      <c r="A8" s="560" t="s">
        <v>912</v>
      </c>
      <c r="B8" s="560"/>
      <c r="C8" s="560"/>
      <c r="D8" s="560"/>
      <c r="E8" s="560"/>
      <c r="F8" s="560"/>
      <c r="G8" s="560"/>
    </row>
    <row r="9" spans="1:7">
      <c r="A9" s="560"/>
      <c r="B9" s="560"/>
      <c r="C9" s="560"/>
      <c r="D9" s="560"/>
      <c r="E9" s="560"/>
      <c r="F9" s="560"/>
      <c r="G9" s="560"/>
    </row>
    <row r="10" spans="1:7">
      <c r="A10" s="560"/>
      <c r="B10" s="560"/>
      <c r="C10" s="560"/>
      <c r="D10" s="560"/>
      <c r="E10" s="560"/>
      <c r="F10" s="560"/>
      <c r="G10" s="560"/>
    </row>
    <row r="11" spans="1:7">
      <c r="A11" s="560"/>
      <c r="B11" s="560"/>
      <c r="C11" s="560"/>
      <c r="D11" s="560"/>
      <c r="E11" s="560"/>
      <c r="F11" s="560"/>
      <c r="G11" s="560"/>
    </row>
    <row r="12" spans="1:7">
      <c r="A12" s="560"/>
      <c r="B12" s="560"/>
      <c r="C12" s="560"/>
      <c r="D12" s="560"/>
      <c r="E12" s="560"/>
      <c r="F12" s="560"/>
      <c r="G12" s="560"/>
    </row>
    <row r="13" spans="1:7">
      <c r="A13" s="202"/>
      <c r="B13" s="202"/>
      <c r="C13" s="202"/>
      <c r="D13" s="202"/>
      <c r="E13" s="202"/>
      <c r="F13" s="202"/>
      <c r="G13" s="202"/>
    </row>
    <row r="14" spans="1:7">
      <c r="A14" s="9" t="s">
        <v>539</v>
      </c>
    </row>
    <row r="15" spans="1:7">
      <c r="A15" s="550" t="s">
        <v>915</v>
      </c>
      <c r="B15" s="550"/>
      <c r="C15" s="550"/>
      <c r="D15" s="550"/>
      <c r="E15" s="550"/>
      <c r="F15" s="550"/>
      <c r="G15" s="550"/>
    </row>
    <row r="16" spans="1:7">
      <c r="A16" s="550"/>
      <c r="B16" s="550"/>
      <c r="C16" s="550"/>
      <c r="D16" s="550"/>
      <c r="E16" s="550"/>
      <c r="F16" s="550"/>
      <c r="G16" s="550"/>
    </row>
    <row r="17" spans="1:7">
      <c r="A17" s="550"/>
      <c r="B17" s="550"/>
      <c r="C17" s="550"/>
      <c r="D17" s="550"/>
      <c r="E17" s="550"/>
      <c r="F17" s="550"/>
      <c r="G17" s="550"/>
    </row>
    <row r="18" spans="1:7">
      <c r="A18" s="550"/>
      <c r="B18" s="550"/>
      <c r="C18" s="550"/>
      <c r="D18" s="550"/>
      <c r="E18" s="550"/>
      <c r="F18" s="550"/>
      <c r="G18" s="550"/>
    </row>
    <row r="19" spans="1:7" ht="1.05" customHeight="1">
      <c r="A19" s="550"/>
      <c r="B19" s="550"/>
      <c r="C19" s="550"/>
      <c r="D19" s="550"/>
      <c r="E19" s="550"/>
      <c r="F19" s="550"/>
      <c r="G19" s="550"/>
    </row>
    <row r="20" spans="1:7" ht="16.05" customHeight="1"/>
    <row r="21" spans="1:7">
      <c r="A21" s="9" t="s">
        <v>538</v>
      </c>
    </row>
    <row r="22" spans="1:7" ht="16.95" customHeight="1">
      <c r="A22" s="561" t="s">
        <v>1259</v>
      </c>
      <c r="B22" s="561"/>
      <c r="C22" s="561"/>
      <c r="D22" s="561"/>
      <c r="E22" s="561"/>
      <c r="F22" s="561"/>
      <c r="G22" s="561"/>
    </row>
    <row r="24" spans="1:7">
      <c r="A24" s="9" t="s">
        <v>308</v>
      </c>
    </row>
    <row r="25" spans="1:7">
      <c r="A25" s="550" t="s">
        <v>1230</v>
      </c>
      <c r="B25" s="550"/>
      <c r="C25" s="550"/>
      <c r="D25" s="550"/>
      <c r="E25" s="550"/>
      <c r="F25" s="550"/>
      <c r="G25" s="550"/>
    </row>
    <row r="26" spans="1:7">
      <c r="A26" s="550"/>
      <c r="B26" s="550"/>
      <c r="C26" s="550"/>
      <c r="D26" s="550"/>
      <c r="E26" s="550"/>
      <c r="F26" s="550"/>
      <c r="G26" s="550"/>
    </row>
    <row r="27" spans="1:7">
      <c r="A27" s="550"/>
      <c r="B27" s="550"/>
      <c r="C27" s="550"/>
      <c r="D27" s="550"/>
      <c r="E27" s="550"/>
      <c r="F27" s="550"/>
      <c r="G27" s="550"/>
    </row>
    <row r="28" spans="1:7">
      <c r="A28" s="550"/>
      <c r="B28" s="550"/>
      <c r="C28" s="550"/>
      <c r="D28" s="550"/>
      <c r="E28" s="550"/>
      <c r="F28" s="550"/>
      <c r="G28" s="550"/>
    </row>
    <row r="29" spans="1:7">
      <c r="A29" s="550"/>
      <c r="B29" s="550"/>
      <c r="C29" s="550"/>
      <c r="D29" s="550"/>
      <c r="E29" s="550"/>
      <c r="F29" s="550"/>
      <c r="G29" s="550"/>
    </row>
    <row r="30" spans="1:7" ht="51" customHeight="1">
      <c r="A30" s="550"/>
      <c r="B30" s="550"/>
      <c r="C30" s="550"/>
      <c r="D30" s="550"/>
      <c r="E30" s="550"/>
      <c r="F30" s="550"/>
      <c r="G30" s="550"/>
    </row>
    <row r="31" spans="1:7" s="360" customFormat="1" ht="16.95" customHeight="1">
      <c r="A31" s="359"/>
      <c r="B31" s="359"/>
      <c r="C31" s="359"/>
      <c r="D31" s="359"/>
      <c r="E31" s="359"/>
      <c r="F31" s="359"/>
      <c r="G31" s="359"/>
    </row>
    <row r="32" spans="1:7" s="360" customFormat="1" ht="67.05" customHeight="1">
      <c r="A32" s="550" t="s">
        <v>914</v>
      </c>
      <c r="B32" s="550"/>
      <c r="C32" s="550"/>
      <c r="D32" s="550"/>
      <c r="E32" s="550"/>
      <c r="F32" s="550"/>
      <c r="G32" s="550"/>
    </row>
    <row r="33" spans="1:8" s="360" customFormat="1" ht="19.05" customHeight="1">
      <c r="B33" s="359"/>
      <c r="C33" s="359"/>
      <c r="D33" s="359"/>
      <c r="E33" s="359"/>
      <c r="F33" s="359"/>
      <c r="G33" s="359"/>
    </row>
    <row r="34" spans="1:8" s="360" customFormat="1" ht="16.05" customHeight="1">
      <c r="A34" s="33" t="s">
        <v>438</v>
      </c>
    </row>
    <row r="36" spans="1:8" ht="34.049999999999997" customHeight="1">
      <c r="A36" s="550" t="s">
        <v>913</v>
      </c>
      <c r="B36" s="550"/>
      <c r="C36" s="550"/>
      <c r="D36" s="550"/>
      <c r="E36" s="550"/>
      <c r="F36" s="550"/>
      <c r="G36" s="550"/>
    </row>
    <row r="38" spans="1:8" s="356" customFormat="1" ht="72" customHeight="1">
      <c r="A38" s="533" t="s">
        <v>1270</v>
      </c>
      <c r="B38" s="533"/>
      <c r="C38" s="533"/>
      <c r="D38" s="533"/>
      <c r="E38" s="533"/>
      <c r="F38" s="533"/>
      <c r="G38" s="533"/>
    </row>
    <row r="39" spans="1:8" ht="62.4">
      <c r="A39" s="66" t="s">
        <v>0</v>
      </c>
      <c r="B39" s="75" t="s">
        <v>910</v>
      </c>
      <c r="C39" s="75" t="s">
        <v>911</v>
      </c>
      <c r="D39" s="75" t="s">
        <v>1272</v>
      </c>
      <c r="E39" s="75" t="s">
        <v>6</v>
      </c>
      <c r="F39" s="75" t="s">
        <v>1277</v>
      </c>
      <c r="H39" s="360"/>
    </row>
    <row r="40" spans="1:8">
      <c r="A40" s="35">
        <v>2007</v>
      </c>
      <c r="B40" s="96">
        <v>161045000</v>
      </c>
      <c r="C40" s="114">
        <v>195688000</v>
      </c>
      <c r="D40" s="114">
        <v>161045000</v>
      </c>
      <c r="E40" t="s">
        <v>783</v>
      </c>
      <c r="F40" s="149">
        <f t="shared" ref="F40:F44" si="0">$I$54*D40</f>
        <v>48049491.803278692</v>
      </c>
      <c r="G40" s="360"/>
      <c r="H40" s="360"/>
    </row>
    <row r="41" spans="1:8">
      <c r="A41" s="35">
        <v>2008</v>
      </c>
      <c r="B41" s="96">
        <f>220252000+170000</f>
        <v>220422000</v>
      </c>
      <c r="C41" s="96">
        <v>214543000</v>
      </c>
      <c r="D41" s="96">
        <v>209896000</v>
      </c>
      <c r="E41" s="333" t="s">
        <v>1276</v>
      </c>
      <c r="F41" s="149">
        <f t="shared" si="0"/>
        <v>62624708.196721315</v>
      </c>
      <c r="G41" s="360"/>
      <c r="H41" s="360"/>
    </row>
    <row r="42" spans="1:8">
      <c r="A42" s="35">
        <v>2009</v>
      </c>
      <c r="B42" s="96">
        <v>286207000</v>
      </c>
      <c r="C42" s="96">
        <v>269723000</v>
      </c>
      <c r="D42" s="96">
        <v>269675000</v>
      </c>
      <c r="E42" s="360" t="s">
        <v>1276</v>
      </c>
      <c r="F42" s="149">
        <f t="shared" si="0"/>
        <v>80460409.836065575</v>
      </c>
      <c r="G42" s="360"/>
      <c r="H42" s="360"/>
    </row>
    <row r="43" spans="1:8">
      <c r="A43" s="35">
        <v>2010</v>
      </c>
      <c r="B43" s="96">
        <v>271851000</v>
      </c>
      <c r="C43" s="96">
        <v>264100000</v>
      </c>
      <c r="D43" s="96">
        <v>264030000</v>
      </c>
      <c r="E43" s="360" t="s">
        <v>1276</v>
      </c>
      <c r="F43" s="149">
        <f t="shared" si="0"/>
        <v>78776163.934426233</v>
      </c>
      <c r="G43" s="360"/>
      <c r="H43" s="360"/>
    </row>
    <row r="44" spans="1:8">
      <c r="A44" s="35">
        <v>2011</v>
      </c>
      <c r="B44" s="96">
        <v>238748000</v>
      </c>
      <c r="C44" s="96">
        <v>213412000</v>
      </c>
      <c r="D44" s="96">
        <v>213412000</v>
      </c>
      <c r="E44" t="s">
        <v>1273</v>
      </c>
      <c r="F44" s="149">
        <f t="shared" si="0"/>
        <v>63673744.262295082</v>
      </c>
      <c r="G44" s="364"/>
      <c r="H44" s="360"/>
    </row>
    <row r="45" spans="1:8">
      <c r="A45" s="35">
        <v>2012</v>
      </c>
      <c r="B45" s="96">
        <v>209756000</v>
      </c>
      <c r="C45" s="96">
        <v>192892000</v>
      </c>
      <c r="D45" s="96">
        <v>192826000</v>
      </c>
      <c r="E45" s="333" t="s">
        <v>1273</v>
      </c>
      <c r="F45" s="149">
        <f>$I$54*D45</f>
        <v>57531691.803278692</v>
      </c>
      <c r="G45" s="364"/>
      <c r="H45" s="360"/>
    </row>
    <row r="46" spans="1:8">
      <c r="A46" s="35">
        <v>2013</v>
      </c>
      <c r="B46" s="96">
        <v>168811000</v>
      </c>
      <c r="C46" s="96">
        <v>149972000</v>
      </c>
      <c r="D46" s="270">
        <v>149972000</v>
      </c>
      <c r="E46" s="333" t="s">
        <v>1273</v>
      </c>
      <c r="F46" s="149">
        <f t="shared" ref="F46:F48" si="1">$I54*D46</f>
        <v>44745744.262295082</v>
      </c>
      <c r="G46" s="364"/>
      <c r="H46" s="360"/>
    </row>
    <row r="47" spans="1:8">
      <c r="A47" s="35">
        <v>2014</v>
      </c>
      <c r="B47" s="96">
        <v>278807000</v>
      </c>
      <c r="C47" s="96">
        <v>252378000</v>
      </c>
      <c r="D47" s="270">
        <v>252378000</v>
      </c>
      <c r="E47" s="257" t="s">
        <v>1274</v>
      </c>
      <c r="F47" s="149">
        <f t="shared" si="1"/>
        <v>76090083.582089558</v>
      </c>
      <c r="G47" s="360"/>
      <c r="H47" s="360"/>
    </row>
    <row r="48" spans="1:8">
      <c r="A48" s="35">
        <v>2015</v>
      </c>
      <c r="B48" s="96">
        <v>273300000</v>
      </c>
      <c r="C48" s="96">
        <v>241965000</v>
      </c>
      <c r="D48" s="270">
        <v>241965000</v>
      </c>
      <c r="E48" s="333" t="s">
        <v>1275</v>
      </c>
      <c r="F48" s="149">
        <f t="shared" si="1"/>
        <v>76338253.521126762</v>
      </c>
      <c r="G48" s="360"/>
      <c r="H48" s="360"/>
    </row>
    <row r="49" spans="1:16" s="257" customFormat="1">
      <c r="A49" s="343">
        <v>2016</v>
      </c>
      <c r="B49" s="96">
        <v>259565000</v>
      </c>
      <c r="C49" s="96">
        <v>229066000</v>
      </c>
      <c r="D49" s="270">
        <v>229066000</v>
      </c>
      <c r="E49" s="314" t="s">
        <v>1274</v>
      </c>
      <c r="F49" s="149">
        <f>$I57*D49</f>
        <v>72093270.390280634</v>
      </c>
      <c r="G49" s="360"/>
    </row>
    <row r="51" spans="1:16" ht="103.05" customHeight="1">
      <c r="A51" s="559" t="s">
        <v>1271</v>
      </c>
      <c r="B51" s="559"/>
      <c r="C51" s="559"/>
      <c r="D51" s="559"/>
      <c r="E51" s="559"/>
      <c r="F51" s="559"/>
      <c r="G51" s="559"/>
    </row>
    <row r="52" spans="1:16">
      <c r="A52" s="34"/>
    </row>
    <row r="53" spans="1:16" ht="31.05" customHeight="1">
      <c r="A53" s="66" t="s">
        <v>0</v>
      </c>
      <c r="B53" s="75" t="s">
        <v>1231</v>
      </c>
      <c r="C53" s="75" t="s">
        <v>459</v>
      </c>
      <c r="D53" s="75" t="s">
        <v>403</v>
      </c>
      <c r="E53" s="75" t="s">
        <v>460</v>
      </c>
      <c r="F53" s="75" t="s">
        <v>461</v>
      </c>
      <c r="G53" s="75" t="s">
        <v>1232</v>
      </c>
      <c r="H53" s="82" t="s">
        <v>30</v>
      </c>
      <c r="I53" s="66" t="s">
        <v>786</v>
      </c>
      <c r="J53" s="146" t="s">
        <v>784</v>
      </c>
      <c r="K53" s="146" t="s">
        <v>785</v>
      </c>
    </row>
    <row r="54" spans="1:16">
      <c r="A54" s="35">
        <v>2013</v>
      </c>
      <c r="B54" s="351">
        <v>118</v>
      </c>
      <c r="C54" s="351">
        <v>91</v>
      </c>
      <c r="D54" s="351">
        <v>39</v>
      </c>
      <c r="E54" s="351">
        <v>28</v>
      </c>
      <c r="F54" s="351">
        <v>29</v>
      </c>
      <c r="G54" s="155"/>
      <c r="H54" s="353">
        <f>SUM(B54:F54)</f>
        <v>305</v>
      </c>
      <c r="I54" s="101">
        <f>C54/H54</f>
        <v>0.29836065573770493</v>
      </c>
      <c r="J54" s="350">
        <f t="shared" ref="J54:J56" si="2">SUM(E54:G54)/H54</f>
        <v>0.18688524590163935</v>
      </c>
      <c r="K54" s="101">
        <f>1-J54</f>
        <v>0.81311475409836065</v>
      </c>
    </row>
    <row r="55" spans="1:16">
      <c r="A55" s="35">
        <v>2014</v>
      </c>
      <c r="B55" s="351">
        <v>134</v>
      </c>
      <c r="C55" s="351">
        <v>101</v>
      </c>
      <c r="D55" s="351">
        <v>38</v>
      </c>
      <c r="E55" s="351">
        <v>29</v>
      </c>
      <c r="F55" s="351">
        <v>33</v>
      </c>
      <c r="G55" s="155"/>
      <c r="H55" s="353">
        <f>SUM(B55:F55)</f>
        <v>335</v>
      </c>
      <c r="I55" s="101">
        <f>C55/H55</f>
        <v>0.30149253731343284</v>
      </c>
      <c r="J55" s="350">
        <f t="shared" si="2"/>
        <v>0.18507462686567164</v>
      </c>
      <c r="K55" s="101">
        <f t="shared" ref="K55:K56" si="3">1-J55</f>
        <v>0.81492537313432833</v>
      </c>
    </row>
    <row r="56" spans="1:16">
      <c r="A56" s="35">
        <v>2015</v>
      </c>
      <c r="B56" s="351">
        <v>140</v>
      </c>
      <c r="C56" s="351">
        <v>112</v>
      </c>
      <c r="D56" s="351">
        <v>42</v>
      </c>
      <c r="E56" s="351">
        <v>32</v>
      </c>
      <c r="F56" s="351">
        <v>29</v>
      </c>
      <c r="G56" s="155"/>
      <c r="H56" s="353">
        <f>SUM(B56:F56)</f>
        <v>355</v>
      </c>
      <c r="I56" s="101">
        <f>C56/H56</f>
        <v>0.3154929577464789</v>
      </c>
      <c r="J56" s="350">
        <f t="shared" si="2"/>
        <v>0.17183098591549295</v>
      </c>
      <c r="K56" s="101">
        <f t="shared" si="3"/>
        <v>0.82816901408450705</v>
      </c>
    </row>
    <row r="57" spans="1:16">
      <c r="A57" s="343">
        <v>2016</v>
      </c>
      <c r="B57" s="352">
        <v>100.009175</v>
      </c>
      <c r="C57" s="352">
        <v>106.670714</v>
      </c>
      <c r="D57" s="352">
        <v>45.893729999999998</v>
      </c>
      <c r="E57" s="352">
        <v>39.215018000000001</v>
      </c>
      <c r="F57" s="352">
        <v>43.625579000000002</v>
      </c>
      <c r="G57" s="352">
        <v>3.5166390000000001</v>
      </c>
      <c r="H57" s="354">
        <f>SUM(B57:G57)</f>
        <v>338.93085500000001</v>
      </c>
      <c r="I57" s="347">
        <f>C57/H57</f>
        <v>0.31472706726568167</v>
      </c>
      <c r="J57" s="350">
        <f>SUM(E57:G57)/H57</f>
        <v>0.25479307866496842</v>
      </c>
      <c r="K57" s="347">
        <f t="shared" ref="K57" si="4">1-J57</f>
        <v>0.74520692133503164</v>
      </c>
    </row>
    <row r="59" spans="1:16">
      <c r="B59" s="51" t="s">
        <v>1260</v>
      </c>
      <c r="C59" s="51" t="s">
        <v>6</v>
      </c>
      <c r="D59" s="51" t="s">
        <v>1262</v>
      </c>
      <c r="E59" s="51" t="s">
        <v>6</v>
      </c>
      <c r="F59" s="51" t="s">
        <v>1269</v>
      </c>
      <c r="J59" s="360"/>
      <c r="K59" s="360"/>
      <c r="L59" s="360"/>
      <c r="M59" s="360"/>
      <c r="N59" s="360"/>
      <c r="O59" s="360"/>
      <c r="P59" s="360"/>
    </row>
    <row r="60" spans="1:16">
      <c r="A60">
        <v>2007</v>
      </c>
      <c r="C60" t="s">
        <v>1267</v>
      </c>
      <c r="E60" s="116" t="s">
        <v>1268</v>
      </c>
      <c r="G60" s="116" t="s">
        <v>1268</v>
      </c>
      <c r="H60" s="360"/>
      <c r="J60" s="360"/>
      <c r="K60" s="360"/>
      <c r="L60" s="360"/>
      <c r="M60" s="360"/>
      <c r="N60" s="360"/>
      <c r="O60" s="360"/>
      <c r="P60" s="360"/>
    </row>
    <row r="61" spans="1:16">
      <c r="A61">
        <v>2008</v>
      </c>
      <c r="C61" s="360" t="s">
        <v>1266</v>
      </c>
      <c r="E61" s="360" t="s">
        <v>1267</v>
      </c>
      <c r="G61" s="360" t="s">
        <v>1267</v>
      </c>
      <c r="H61" s="360"/>
      <c r="J61" s="360"/>
      <c r="K61" s="360"/>
      <c r="L61" s="360"/>
      <c r="M61" s="360"/>
      <c r="N61" s="360"/>
      <c r="O61" s="360"/>
      <c r="P61" s="360"/>
    </row>
    <row r="62" spans="1:16">
      <c r="A62">
        <v>2009</v>
      </c>
      <c r="C62" t="s">
        <v>1266</v>
      </c>
      <c r="E62" t="s">
        <v>1267</v>
      </c>
      <c r="G62" s="360" t="s">
        <v>1267</v>
      </c>
      <c r="H62" s="360"/>
      <c r="J62" s="360"/>
      <c r="K62" s="360"/>
      <c r="L62" s="360"/>
      <c r="M62" s="360"/>
      <c r="N62" s="360"/>
      <c r="O62" s="360"/>
      <c r="P62" s="360"/>
    </row>
    <row r="63" spans="1:16">
      <c r="A63">
        <v>2010</v>
      </c>
      <c r="C63" t="s">
        <v>1264</v>
      </c>
      <c r="E63" s="360" t="s">
        <v>1266</v>
      </c>
      <c r="G63" s="360" t="s">
        <v>1266</v>
      </c>
      <c r="H63" s="360"/>
      <c r="J63" s="360"/>
      <c r="K63" s="360"/>
      <c r="L63" s="360"/>
      <c r="M63" s="360"/>
      <c r="N63" s="360"/>
      <c r="O63" s="360"/>
      <c r="P63" s="360"/>
    </row>
    <row r="64" spans="1:16">
      <c r="A64">
        <v>2011</v>
      </c>
      <c r="C64" t="s">
        <v>1263</v>
      </c>
      <c r="E64" s="360" t="s">
        <v>1265</v>
      </c>
      <c r="G64" t="s">
        <v>1266</v>
      </c>
      <c r="H64" s="360"/>
      <c r="J64" s="360"/>
      <c r="K64" s="360"/>
      <c r="L64" s="360"/>
      <c r="M64" s="360"/>
      <c r="N64" s="360"/>
      <c r="O64" s="360"/>
      <c r="P64" s="360"/>
    </row>
    <row r="65" spans="1:16">
      <c r="A65">
        <v>2012</v>
      </c>
      <c r="C65" t="s">
        <v>1261</v>
      </c>
      <c r="E65" s="360" t="s">
        <v>1265</v>
      </c>
      <c r="G65" s="360" t="s">
        <v>1266</v>
      </c>
      <c r="H65" s="360"/>
      <c r="J65" s="360"/>
      <c r="K65" s="360"/>
      <c r="L65" s="360"/>
      <c r="M65" s="360"/>
      <c r="N65" s="360"/>
      <c r="O65" s="360"/>
      <c r="P65" s="360"/>
    </row>
    <row r="66" spans="1:16">
      <c r="A66">
        <v>2013</v>
      </c>
      <c r="C66" s="360" t="s">
        <v>1261</v>
      </c>
      <c r="E66" s="116" t="s">
        <v>1265</v>
      </c>
      <c r="G66" s="116" t="s">
        <v>1265</v>
      </c>
      <c r="H66" s="360"/>
    </row>
    <row r="67" spans="1:16">
      <c r="A67">
        <v>2014</v>
      </c>
      <c r="C67" s="360" t="s">
        <v>1261</v>
      </c>
      <c r="E67" s="360" t="s">
        <v>1261</v>
      </c>
      <c r="G67" s="116" t="s">
        <v>1261</v>
      </c>
      <c r="H67" s="360"/>
    </row>
    <row r="68" spans="1:16">
      <c r="A68">
        <v>2015</v>
      </c>
      <c r="C68" s="360" t="s">
        <v>1261</v>
      </c>
      <c r="E68" s="360" t="s">
        <v>1261</v>
      </c>
      <c r="G68" s="116" t="s">
        <v>1261</v>
      </c>
      <c r="H68" s="360"/>
    </row>
    <row r="69" spans="1:16">
      <c r="A69">
        <v>2016</v>
      </c>
      <c r="C69" s="360" t="s">
        <v>1261</v>
      </c>
      <c r="E69" s="360" t="s">
        <v>1261</v>
      </c>
      <c r="G69" s="116" t="s">
        <v>1261</v>
      </c>
      <c r="H69" s="360"/>
    </row>
  </sheetData>
  <mergeCells count="8">
    <mergeCell ref="A36:G36"/>
    <mergeCell ref="A38:G38"/>
    <mergeCell ref="A51:G51"/>
    <mergeCell ref="A15:G19"/>
    <mergeCell ref="A8:G12"/>
    <mergeCell ref="A22:G22"/>
    <mergeCell ref="A25:G30"/>
    <mergeCell ref="A32:G32"/>
  </mergeCells>
  <phoneticPr fontId="16" type="noConversion"/>
  <hyperlinks>
    <hyperlink ref="A34" r:id="rId1" location="&amp;panel1-1&amp;panel2-1"/>
    <hyperlink ref="E49" r:id="rId2" display="10K, 2016, p 27"/>
  </hyperlinks>
  <pageMargins left="0.7" right="0.7" top="0.75" bottom="0.75" header="0.3" footer="0.3"/>
  <pageSetup orientation="landscape" horizontalDpi="4294967292" verticalDpi="4294967292" r:id="rId3"/>
  <headerFooter>
    <oddHeader>&amp;LA New Dataset on Mobile Phone _x000D_Patent License Royalties&amp;C&amp;"-,Bold"&amp;A&amp;RAugust 2017 Update</oddHeader>
    <oddFooter>&amp;LAlexander Galetovic, Stephen Haber, _x000D_and Lew Zaretzki&amp;C&amp;P of &amp;N</oddFooter>
  </headerFooter>
  <rowBreaks count="3" manualBreakCount="3">
    <brk id="23" max="16383" man="1"/>
    <brk id="38" max="16383" man="1"/>
    <brk id="58" max="16383" man="1"/>
  </rowBreak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4"/>
  <sheetViews>
    <sheetView showGridLines="0" view="pageLayout" topLeftCell="A8" zoomScale="150" zoomScaleNormal="102" zoomScalePageLayoutView="150" workbookViewId="0">
      <selection activeCell="A9" sqref="A9"/>
    </sheetView>
  </sheetViews>
  <sheetFormatPr baseColWidth="10" defaultRowHeight="15.6"/>
  <cols>
    <col min="1" max="1" width="82.5" customWidth="1"/>
  </cols>
  <sheetData>
    <row r="3" spans="1:7" ht="46.8">
      <c r="A3" s="462" t="s">
        <v>1422</v>
      </c>
    </row>
    <row r="4" spans="1:7" s="360" customFormat="1">
      <c r="A4" s="462"/>
    </row>
    <row r="5" spans="1:7" ht="46.8">
      <c r="A5" s="462" t="s">
        <v>1433</v>
      </c>
      <c r="B5" s="462"/>
    </row>
    <row r="6" spans="1:7" s="360" customFormat="1">
      <c r="A6" s="462"/>
      <c r="B6" s="462"/>
    </row>
    <row r="7" spans="1:7" ht="109.2">
      <c r="A7" s="462" t="s">
        <v>1524</v>
      </c>
    </row>
    <row r="8" spans="1:7" s="360" customFormat="1">
      <c r="A8" s="516"/>
      <c r="D8"/>
    </row>
    <row r="9" spans="1:7" ht="156">
      <c r="A9" s="462" t="s">
        <v>1434</v>
      </c>
    </row>
    <row r="10" spans="1:7" s="257" customFormat="1">
      <c r="A10" s="529"/>
    </row>
    <row r="11" spans="1:7" ht="93.6">
      <c r="A11" s="514" t="s">
        <v>1435</v>
      </c>
    </row>
    <row r="12" spans="1:7">
      <c r="A12" s="529"/>
      <c r="G12" s="257"/>
    </row>
    <row r="13" spans="1:7" ht="46.8">
      <c r="A13" s="462" t="s">
        <v>1523</v>
      </c>
      <c r="G13" s="257"/>
    </row>
    <row r="14" spans="1:7">
      <c r="A14" s="45"/>
      <c r="G14" s="257"/>
    </row>
    <row r="15" spans="1:7" s="257" customFormat="1">
      <c r="A15" s="45"/>
    </row>
    <row r="16" spans="1:7" s="257" customFormat="1">
      <c r="A16" s="45"/>
    </row>
    <row r="17" spans="1:10" s="257" customFormat="1">
      <c r="A17" s="45"/>
    </row>
    <row r="18" spans="1:10" s="257" customFormat="1">
      <c r="A18" s="45"/>
    </row>
    <row r="19" spans="1:10" s="257" customFormat="1">
      <c r="A19" s="45"/>
    </row>
    <row r="20" spans="1:10">
      <c r="A20" s="360"/>
      <c r="B20" s="360"/>
      <c r="C20" s="360"/>
      <c r="D20" s="360"/>
      <c r="E20" s="360"/>
      <c r="F20" s="360"/>
      <c r="G20" s="360"/>
      <c r="H20" s="360"/>
      <c r="I20" s="360"/>
      <c r="J20" s="360"/>
    </row>
    <row r="21" spans="1:10">
      <c r="A21" s="360"/>
      <c r="B21" s="360"/>
      <c r="C21" s="360"/>
      <c r="D21" s="360"/>
      <c r="E21" s="360"/>
      <c r="F21" s="360"/>
      <c r="G21" s="360"/>
      <c r="H21" s="360"/>
      <c r="I21" s="360"/>
      <c r="J21" s="360"/>
    </row>
    <row r="22" spans="1:10">
      <c r="A22" s="360"/>
      <c r="B22" s="360"/>
      <c r="C22" s="360"/>
      <c r="D22" s="360"/>
      <c r="E22" s="360"/>
      <c r="F22" s="360"/>
      <c r="G22" s="360"/>
      <c r="H22" s="360"/>
      <c r="I22" s="360"/>
      <c r="J22" s="360"/>
    </row>
    <row r="23" spans="1:10">
      <c r="A23" s="360"/>
      <c r="B23" s="360"/>
      <c r="C23" s="360"/>
      <c r="D23" s="360"/>
      <c r="E23" s="360"/>
      <c r="F23" s="360"/>
      <c r="G23" s="360"/>
      <c r="H23" s="360"/>
      <c r="I23" s="360"/>
      <c r="J23" s="360"/>
    </row>
    <row r="24" spans="1:10">
      <c r="A24" s="360"/>
      <c r="B24" s="360"/>
      <c r="C24" s="360"/>
      <c r="D24" s="360"/>
      <c r="E24" s="360"/>
      <c r="F24" s="360"/>
      <c r="G24" s="360"/>
      <c r="H24" s="360"/>
      <c r="I24" s="360"/>
      <c r="J24" s="360"/>
    </row>
    <row r="25" spans="1:10">
      <c r="A25" s="360"/>
      <c r="B25" s="360"/>
      <c r="C25" s="360"/>
      <c r="D25" s="360"/>
      <c r="E25" s="360"/>
      <c r="F25" s="360"/>
      <c r="G25" s="360"/>
      <c r="H25" s="360"/>
      <c r="I25" s="360"/>
      <c r="J25" s="360"/>
    </row>
    <row r="26" spans="1:10">
      <c r="A26" s="360"/>
      <c r="B26" s="360"/>
      <c r="C26" s="360"/>
      <c r="D26" s="360"/>
      <c r="E26" s="360"/>
      <c r="F26" s="360"/>
      <c r="G26" s="360"/>
      <c r="H26" s="360"/>
      <c r="I26" s="360"/>
      <c r="J26" s="360"/>
    </row>
    <row r="27" spans="1:10">
      <c r="A27" s="360"/>
      <c r="B27" s="360"/>
      <c r="C27" s="360"/>
      <c r="D27" s="360"/>
      <c r="E27" s="360"/>
      <c r="F27" s="360"/>
      <c r="G27" s="360"/>
      <c r="H27" s="360"/>
      <c r="I27" s="360"/>
      <c r="J27" s="360"/>
    </row>
    <row r="28" spans="1:10">
      <c r="A28" s="360"/>
      <c r="B28" s="360"/>
      <c r="C28" s="360"/>
      <c r="D28" s="360"/>
      <c r="E28" s="360"/>
      <c r="F28" s="360"/>
      <c r="G28" s="360"/>
      <c r="H28" s="360"/>
      <c r="I28" s="360"/>
      <c r="J28" s="360"/>
    </row>
    <row r="29" spans="1:10">
      <c r="A29" s="360"/>
      <c r="B29" s="360"/>
      <c r="C29" s="360"/>
      <c r="D29" s="360"/>
      <c r="E29" s="360"/>
      <c r="F29" s="360"/>
      <c r="G29" s="360"/>
      <c r="H29" s="360"/>
      <c r="I29" s="360"/>
      <c r="J29" s="360"/>
    </row>
    <row r="30" spans="1:10">
      <c r="A30" s="360"/>
      <c r="B30" s="360"/>
      <c r="C30" s="360"/>
      <c r="D30" s="360"/>
      <c r="E30" s="360"/>
      <c r="F30" s="360"/>
      <c r="G30" s="360"/>
      <c r="H30" s="360"/>
      <c r="I30" s="360"/>
      <c r="J30" s="360"/>
    </row>
    <row r="31" spans="1:10">
      <c r="A31" s="360"/>
      <c r="B31" s="360"/>
      <c r="C31" s="360"/>
      <c r="D31" s="360"/>
      <c r="E31" s="360"/>
      <c r="F31" s="360"/>
      <c r="G31" s="360"/>
      <c r="H31" s="360"/>
      <c r="I31" s="360"/>
      <c r="J31" s="360"/>
    </row>
    <row r="32" spans="1:10">
      <c r="A32" s="360"/>
      <c r="B32" s="360"/>
      <c r="C32" s="360"/>
      <c r="D32" s="360"/>
      <c r="E32" s="360"/>
      <c r="F32" s="360"/>
      <c r="G32" s="360"/>
      <c r="H32" s="360"/>
      <c r="I32" s="360"/>
      <c r="J32" s="360"/>
    </row>
    <row r="40" spans="1:11">
      <c r="H40" s="331"/>
      <c r="I40" s="331"/>
      <c r="J40" s="331"/>
      <c r="K40" s="331"/>
    </row>
    <row r="44" spans="1:11">
      <c r="A44" s="331"/>
      <c r="B44" s="331"/>
    </row>
    <row r="45" spans="1:11">
      <c r="A45" s="331"/>
      <c r="B45" s="331"/>
    </row>
    <row r="46" spans="1:11">
      <c r="A46" s="331"/>
      <c r="B46" s="331"/>
    </row>
    <row r="47" spans="1:11">
      <c r="A47" s="331"/>
      <c r="B47" s="331"/>
    </row>
    <row r="48" spans="1:11">
      <c r="A48" s="331"/>
      <c r="B48" s="331"/>
    </row>
    <row r="49" spans="1:2">
      <c r="A49" s="331"/>
      <c r="B49" s="331"/>
    </row>
    <row r="50" spans="1:2">
      <c r="A50" s="331"/>
      <c r="B50" s="331"/>
    </row>
    <row r="51" spans="1:2">
      <c r="A51" s="331"/>
      <c r="B51" s="331"/>
    </row>
    <row r="52" spans="1:2">
      <c r="A52" s="331"/>
      <c r="B52" s="331"/>
    </row>
    <row r="53" spans="1:2">
      <c r="A53" s="331"/>
      <c r="B53" s="331"/>
    </row>
    <row r="54" spans="1:2">
      <c r="A54" s="331"/>
      <c r="B54" s="331"/>
    </row>
  </sheetData>
  <phoneticPr fontId="16" type="noConversion"/>
  <pageMargins left="0.7" right="0.7" top="0.75" bottom="0.75" header="0.3" footer="0.3"/>
  <pageSetup orientation="portrait" horizontalDpi="0" verticalDpi="0" r:id="rId1"/>
  <headerFooter>
    <oddHeader>&amp;LA New Dataset on Mobile Phone _x000D_Patent License Royalties&amp;C&amp;"-,Bold"2017 Improvements&amp;RAugust 2017 Update</oddHeader>
    <oddFooter>&amp;LAlexander Galetovic, _x000D_Stephen Haber, _x000D_and Lew Zaretzki&amp;CPage &amp;P of &amp;N</oddFooter>
  </headerFooter>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7"/>
  <sheetViews>
    <sheetView showGridLines="0" view="pageLayout" topLeftCell="A102" zoomScale="150" zoomScalePageLayoutView="150" workbookViewId="0">
      <selection activeCell="D120" sqref="D120"/>
    </sheetView>
  </sheetViews>
  <sheetFormatPr baseColWidth="10" defaultRowHeight="15.6"/>
  <cols>
    <col min="1" max="1" width="8.69921875" customWidth="1"/>
    <col min="2" max="3" width="15.69921875" customWidth="1"/>
    <col min="4" max="11" width="15" customWidth="1"/>
    <col min="12" max="12" width="77.69921875" customWidth="1"/>
    <col min="13" max="13" width="42.796875" customWidth="1"/>
    <col min="14" max="14" width="18.19921875" customWidth="1"/>
    <col min="15" max="15" width="21" customWidth="1"/>
  </cols>
  <sheetData>
    <row r="2" spans="1:6">
      <c r="A2" s="143" t="s">
        <v>437</v>
      </c>
    </row>
    <row r="3" spans="1:6" ht="18">
      <c r="A3" s="53" t="str">
        <f>CONCATENATE(VLOOKUP($A$2,'Table of Contents'!$B:$E,4,FALSE)," ",$A$2)</f>
        <v>3.6 Rambus</v>
      </c>
    </row>
    <row r="4" spans="1:6">
      <c r="A4" t="str">
        <f>VLOOKUP($A$2,'Table of Contents'!$B:$E,3,FALSE)</f>
        <v>Public Corp</v>
      </c>
    </row>
    <row r="5" spans="1:6">
      <c r="A5" s="54" t="str">
        <f>VLOOKUP($A$2,'Table of Contents'!$B:$E,2,FALSE)</f>
        <v>Approximated</v>
      </c>
    </row>
    <row r="6" spans="1:6">
      <c r="A6" s="54"/>
    </row>
    <row r="7" spans="1:6">
      <c r="A7" s="9" t="s">
        <v>505</v>
      </c>
    </row>
    <row r="8" spans="1:6">
      <c r="A8" s="538" t="s">
        <v>800</v>
      </c>
      <c r="B8" s="538"/>
      <c r="C8" s="538"/>
      <c r="D8" s="538"/>
      <c r="E8" s="538"/>
      <c r="F8" s="538"/>
    </row>
    <row r="9" spans="1:6">
      <c r="A9" s="538"/>
      <c r="B9" s="538"/>
      <c r="C9" s="538"/>
      <c r="D9" s="538"/>
      <c r="E9" s="538"/>
      <c r="F9" s="538"/>
    </row>
    <row r="10" spans="1:6">
      <c r="A10" s="538"/>
      <c r="B10" s="538"/>
      <c r="C10" s="538"/>
      <c r="D10" s="538"/>
      <c r="E10" s="538"/>
      <c r="F10" s="538"/>
    </row>
    <row r="11" spans="1:6">
      <c r="A11" s="538"/>
      <c r="B11" s="538"/>
      <c r="C11" s="538"/>
      <c r="D11" s="538"/>
      <c r="E11" s="538"/>
      <c r="F11" s="538"/>
    </row>
    <row r="12" spans="1:6">
      <c r="A12" s="538"/>
      <c r="B12" s="538"/>
      <c r="C12" s="538"/>
      <c r="D12" s="538"/>
      <c r="E12" s="538"/>
      <c r="F12" s="538"/>
    </row>
    <row r="13" spans="1:6">
      <c r="A13" s="538"/>
      <c r="B13" s="538"/>
      <c r="C13" s="538"/>
      <c r="D13" s="538"/>
      <c r="E13" s="538"/>
      <c r="F13" s="538"/>
    </row>
    <row r="14" spans="1:6">
      <c r="A14" s="538"/>
      <c r="B14" s="538"/>
      <c r="C14" s="538"/>
      <c r="D14" s="538"/>
      <c r="E14" s="538"/>
      <c r="F14" s="538"/>
    </row>
    <row r="15" spans="1:6">
      <c r="A15" s="9" t="s">
        <v>539</v>
      </c>
    </row>
    <row r="16" spans="1:6" ht="31.95" customHeight="1">
      <c r="A16" s="533" t="s">
        <v>804</v>
      </c>
      <c r="B16" s="533"/>
      <c r="C16" s="533"/>
      <c r="D16" s="533"/>
      <c r="E16" s="533"/>
      <c r="F16" s="533"/>
    </row>
    <row r="18" spans="1:6">
      <c r="A18" s="9" t="s">
        <v>538</v>
      </c>
    </row>
    <row r="19" spans="1:6" ht="33" customHeight="1">
      <c r="A19" s="553" t="s">
        <v>801</v>
      </c>
      <c r="B19" s="553"/>
      <c r="C19" s="553"/>
      <c r="D19" s="553"/>
      <c r="E19" s="553"/>
      <c r="F19" s="553"/>
    </row>
    <row r="20" spans="1:6">
      <c r="A20" s="54"/>
    </row>
    <row r="21" spans="1:6">
      <c r="A21" s="9" t="s">
        <v>308</v>
      </c>
    </row>
    <row r="22" spans="1:6" ht="79.95" customHeight="1">
      <c r="A22" s="548" t="s">
        <v>803</v>
      </c>
      <c r="B22" s="548"/>
      <c r="C22" s="548"/>
      <c r="D22" s="548"/>
      <c r="E22" s="548"/>
      <c r="F22" s="548"/>
    </row>
    <row r="23" spans="1:6">
      <c r="A23" s="54"/>
    </row>
    <row r="24" spans="1:6" ht="97.05" customHeight="1">
      <c r="A24" s="548" t="s">
        <v>802</v>
      </c>
      <c r="B24" s="548"/>
      <c r="C24" s="548"/>
      <c r="D24" s="548"/>
      <c r="E24" s="548"/>
      <c r="F24" s="548"/>
    </row>
    <row r="33" spans="1:12">
      <c r="A33" s="9" t="s">
        <v>782</v>
      </c>
    </row>
    <row r="34" spans="1:12" ht="46.8">
      <c r="A34" s="66" t="s">
        <v>0</v>
      </c>
      <c r="B34" s="66" t="s">
        <v>440</v>
      </c>
      <c r="C34" s="75" t="s">
        <v>788</v>
      </c>
      <c r="D34" s="75" t="s">
        <v>789</v>
      </c>
      <c r="E34" s="66" t="s">
        <v>6</v>
      </c>
    </row>
    <row r="35" spans="1:12">
      <c r="A35" s="184">
        <v>2007</v>
      </c>
      <c r="B35" s="92">
        <v>179940000</v>
      </c>
      <c r="C35" s="207"/>
      <c r="D35" s="92">
        <v>154300000</v>
      </c>
      <c r="E35" t="s">
        <v>790</v>
      </c>
    </row>
    <row r="36" spans="1:12">
      <c r="A36" s="184">
        <v>2008</v>
      </c>
      <c r="B36" s="92">
        <v>142494000</v>
      </c>
      <c r="C36" s="207"/>
      <c r="D36" s="92">
        <v>126900000</v>
      </c>
      <c r="E36" t="s">
        <v>790</v>
      </c>
    </row>
    <row r="37" spans="1:12">
      <c r="A37" s="184">
        <v>2009</v>
      </c>
      <c r="B37" s="92">
        <v>113007000</v>
      </c>
      <c r="C37" s="207"/>
      <c r="D37" s="92">
        <v>108000000</v>
      </c>
      <c r="E37" t="s">
        <v>791</v>
      </c>
    </row>
    <row r="38" spans="1:12">
      <c r="A38" s="184">
        <v>2010</v>
      </c>
      <c r="B38" s="92">
        <v>323390000</v>
      </c>
      <c r="C38" s="207"/>
      <c r="D38" s="92">
        <v>320155000</v>
      </c>
      <c r="E38" t="s">
        <v>792</v>
      </c>
    </row>
    <row r="39" spans="1:12">
      <c r="A39" s="184">
        <v>2011</v>
      </c>
      <c r="B39" s="92">
        <v>312363000</v>
      </c>
      <c r="C39" s="208">
        <v>0.96</v>
      </c>
      <c r="D39" s="96">
        <f t="shared" ref="D39:D44" si="0">B39*C39</f>
        <v>299868480</v>
      </c>
      <c r="E39" t="s">
        <v>793</v>
      </c>
    </row>
    <row r="40" spans="1:12">
      <c r="A40" s="184">
        <v>2012</v>
      </c>
      <c r="B40" s="92">
        <v>234051000</v>
      </c>
      <c r="C40" s="208">
        <v>0.99</v>
      </c>
      <c r="D40" s="96">
        <f t="shared" si="0"/>
        <v>231710490</v>
      </c>
      <c r="E40" t="s">
        <v>793</v>
      </c>
    </row>
    <row r="41" spans="1:12">
      <c r="A41" s="184">
        <v>2013</v>
      </c>
      <c r="B41" s="92">
        <v>271501000</v>
      </c>
      <c r="C41" s="208">
        <v>0.97299999999999998</v>
      </c>
      <c r="D41" s="96">
        <f t="shared" si="0"/>
        <v>264170473</v>
      </c>
      <c r="E41" t="s">
        <v>794</v>
      </c>
    </row>
    <row r="42" spans="1:12">
      <c r="A42" s="184">
        <v>2014</v>
      </c>
      <c r="B42" s="92">
        <v>296448000</v>
      </c>
      <c r="C42" s="208">
        <v>0.91600000000000004</v>
      </c>
      <c r="D42" s="96">
        <f t="shared" si="0"/>
        <v>271546368</v>
      </c>
      <c r="E42" t="s">
        <v>795</v>
      </c>
    </row>
    <row r="43" spans="1:12">
      <c r="A43" s="184">
        <v>2015</v>
      </c>
      <c r="B43" s="92">
        <v>296278000</v>
      </c>
      <c r="C43" s="208">
        <v>0.88600000000000001</v>
      </c>
      <c r="D43" s="96">
        <f t="shared" si="0"/>
        <v>262502308</v>
      </c>
      <c r="E43" t="s">
        <v>795</v>
      </c>
    </row>
    <row r="44" spans="1:12" s="257" customFormat="1">
      <c r="A44" s="343">
        <v>2016</v>
      </c>
      <c r="B44" s="346">
        <v>336597000</v>
      </c>
      <c r="C44" s="348">
        <v>0.78600000000000003</v>
      </c>
      <c r="D44" s="114">
        <f t="shared" si="0"/>
        <v>264565242</v>
      </c>
      <c r="E44" s="314" t="s">
        <v>889</v>
      </c>
      <c r="F44" s="116"/>
    </row>
    <row r="46" spans="1:12">
      <c r="A46" t="s">
        <v>441</v>
      </c>
    </row>
    <row r="47" spans="1:12" ht="49.95" customHeight="1">
      <c r="A47" s="548" t="s">
        <v>797</v>
      </c>
      <c r="B47" s="548"/>
      <c r="C47" s="548"/>
      <c r="D47" s="548"/>
      <c r="E47" s="548"/>
      <c r="F47" s="548"/>
    </row>
    <row r="48" spans="1:12" ht="58.05" customHeight="1">
      <c r="A48" s="75" t="s">
        <v>0</v>
      </c>
      <c r="B48" s="75" t="s">
        <v>442</v>
      </c>
      <c r="C48" s="75" t="s">
        <v>443</v>
      </c>
      <c r="D48" s="206" t="s">
        <v>448</v>
      </c>
      <c r="E48" s="206" t="s">
        <v>449</v>
      </c>
      <c r="F48" s="206" t="s">
        <v>450</v>
      </c>
      <c r="G48" s="206" t="s">
        <v>444</v>
      </c>
      <c r="H48" s="206" t="s">
        <v>445</v>
      </c>
      <c r="I48" s="206" t="s">
        <v>446</v>
      </c>
      <c r="J48" s="206" t="s">
        <v>451</v>
      </c>
      <c r="K48" s="206" t="s">
        <v>452</v>
      </c>
      <c r="L48" s="66"/>
    </row>
    <row r="49" spans="1:11">
      <c r="A49" s="184">
        <v>2010</v>
      </c>
      <c r="B49" s="184">
        <v>2</v>
      </c>
      <c r="C49" s="184">
        <v>10.78</v>
      </c>
      <c r="D49" s="184"/>
      <c r="E49" s="184"/>
      <c r="F49" s="184"/>
      <c r="G49" s="184"/>
      <c r="H49" s="184"/>
      <c r="I49" s="184"/>
      <c r="J49" s="184"/>
      <c r="K49" s="184"/>
    </row>
    <row r="50" spans="1:11">
      <c r="A50" s="184">
        <v>2010</v>
      </c>
      <c r="B50" s="184">
        <v>3</v>
      </c>
      <c r="C50" s="184">
        <v>10.72</v>
      </c>
      <c r="D50" s="184"/>
      <c r="E50" s="184"/>
      <c r="F50" s="184"/>
      <c r="G50" s="184"/>
      <c r="H50" s="184"/>
      <c r="I50" s="184"/>
      <c r="J50" s="184"/>
      <c r="K50" s="184"/>
    </row>
    <row r="51" spans="1:11">
      <c r="A51" s="184">
        <v>2010</v>
      </c>
      <c r="B51" s="184">
        <v>4</v>
      </c>
      <c r="C51" s="184">
        <v>8.7799999999999994</v>
      </c>
      <c r="D51" s="184"/>
      <c r="E51" s="184"/>
      <c r="F51" s="184"/>
      <c r="G51" s="184"/>
      <c r="H51" s="184"/>
      <c r="I51" s="184"/>
      <c r="J51" s="184"/>
      <c r="K51" s="184"/>
    </row>
    <row r="52" spans="1:11">
      <c r="A52" s="184">
        <v>2011</v>
      </c>
      <c r="B52" s="184">
        <v>1</v>
      </c>
      <c r="C52" s="184">
        <v>8.2899999999999991</v>
      </c>
      <c r="D52" s="184"/>
      <c r="E52" s="184"/>
      <c r="F52" s="184"/>
      <c r="G52" s="184"/>
      <c r="H52" s="184"/>
      <c r="I52" s="184"/>
      <c r="J52" s="184"/>
      <c r="K52" s="184"/>
    </row>
    <row r="53" spans="1:11">
      <c r="A53" s="184">
        <v>2011</v>
      </c>
      <c r="B53" s="184">
        <v>2</v>
      </c>
      <c r="C53" s="184">
        <v>8.0500000000000007</v>
      </c>
      <c r="D53" s="184"/>
      <c r="E53" s="184"/>
      <c r="F53" s="184"/>
      <c r="G53" s="184"/>
      <c r="H53" s="184"/>
      <c r="I53" s="184"/>
      <c r="J53" s="184"/>
      <c r="K53" s="184"/>
    </row>
    <row r="54" spans="1:11">
      <c r="A54" s="184">
        <v>2011</v>
      </c>
      <c r="B54" s="184">
        <v>3</v>
      </c>
      <c r="C54" s="184">
        <v>6.79</v>
      </c>
      <c r="D54" s="184"/>
      <c r="E54" s="184"/>
      <c r="F54" s="184"/>
      <c r="G54" s="184"/>
      <c r="H54" s="184"/>
      <c r="I54" s="184"/>
      <c r="J54" s="184"/>
      <c r="K54" s="184"/>
    </row>
    <row r="55" spans="1:11">
      <c r="A55" s="184">
        <v>2011</v>
      </c>
      <c r="B55" s="184">
        <v>4</v>
      </c>
      <c r="C55" s="184">
        <v>6.5</v>
      </c>
      <c r="D55" s="184"/>
      <c r="E55" s="184"/>
      <c r="F55" s="184"/>
      <c r="G55" s="184"/>
      <c r="H55" s="184"/>
      <c r="I55" s="184"/>
      <c r="J55" s="184"/>
      <c r="K55" s="184"/>
    </row>
    <row r="56" spans="1:11">
      <c r="A56" s="184">
        <v>2012</v>
      </c>
      <c r="B56" s="184">
        <v>1</v>
      </c>
      <c r="C56" s="184">
        <v>6.3</v>
      </c>
      <c r="D56" s="204">
        <v>1039</v>
      </c>
      <c r="E56" s="204">
        <v>256</v>
      </c>
      <c r="F56" s="204">
        <v>87</v>
      </c>
      <c r="G56" s="205" t="s">
        <v>447</v>
      </c>
      <c r="H56" s="204">
        <v>330</v>
      </c>
      <c r="I56" s="204">
        <v>29</v>
      </c>
      <c r="J56" s="203">
        <f>SUM(D56:I56)</f>
        <v>1741</v>
      </c>
      <c r="K56" s="102">
        <f>(J56*1000000)/(C56*1000000000)</f>
        <v>0.27634920634920634</v>
      </c>
    </row>
    <row r="57" spans="1:11">
      <c r="A57" s="184">
        <v>2012</v>
      </c>
      <c r="B57" s="184">
        <v>2</v>
      </c>
      <c r="C57" s="184">
        <v>7</v>
      </c>
      <c r="D57" s="204">
        <v>1166</v>
      </c>
      <c r="E57" s="204">
        <v>273</v>
      </c>
      <c r="F57" s="204">
        <v>131</v>
      </c>
      <c r="G57" s="204">
        <v>7</v>
      </c>
      <c r="H57" s="204">
        <v>351</v>
      </c>
      <c r="I57" s="204">
        <v>39</v>
      </c>
      <c r="J57" s="203">
        <f t="shared" ref="J57:J71" si="1">SUM(D57:I57)</f>
        <v>1967</v>
      </c>
      <c r="K57" s="102">
        <f t="shared" ref="K57:K71" si="2">(J57*1000000)/(C57*1000000000)</f>
        <v>0.28100000000000003</v>
      </c>
    </row>
    <row r="58" spans="1:11">
      <c r="A58" s="184">
        <v>2012</v>
      </c>
      <c r="B58" s="184">
        <v>3</v>
      </c>
      <c r="C58" s="184">
        <v>6.4</v>
      </c>
      <c r="D58" s="204">
        <v>1182</v>
      </c>
      <c r="E58" s="204">
        <v>470</v>
      </c>
      <c r="F58" s="204">
        <v>96</v>
      </c>
      <c r="G58" s="204">
        <v>4</v>
      </c>
      <c r="H58" s="204">
        <v>479</v>
      </c>
      <c r="I58" s="204">
        <v>29</v>
      </c>
      <c r="J58" s="203">
        <f t="shared" si="1"/>
        <v>2260</v>
      </c>
      <c r="K58" s="102">
        <f t="shared" si="2"/>
        <v>0.35312500000000002</v>
      </c>
    </row>
    <row r="59" spans="1:11">
      <c r="A59" s="184">
        <v>2012</v>
      </c>
      <c r="B59" s="184">
        <v>4</v>
      </c>
      <c r="C59" s="184">
        <v>6.7</v>
      </c>
      <c r="D59" s="204">
        <v>1501</v>
      </c>
      <c r="E59" s="204">
        <v>523</v>
      </c>
      <c r="F59" s="204">
        <v>36</v>
      </c>
      <c r="G59" s="204">
        <v>7</v>
      </c>
      <c r="H59" s="204">
        <v>654</v>
      </c>
      <c r="I59" s="204">
        <v>24</v>
      </c>
      <c r="J59" s="203">
        <f t="shared" si="1"/>
        <v>2745</v>
      </c>
      <c r="K59" s="102">
        <f t="shared" si="2"/>
        <v>0.40970149253731342</v>
      </c>
    </row>
    <row r="60" spans="1:11">
      <c r="A60" s="184">
        <v>2013</v>
      </c>
      <c r="B60" s="184">
        <v>1</v>
      </c>
      <c r="C60" s="184">
        <v>7.1</v>
      </c>
      <c r="D60" s="204">
        <v>1453</v>
      </c>
      <c r="E60" s="204">
        <v>482</v>
      </c>
      <c r="F60" s="204">
        <v>71</v>
      </c>
      <c r="G60" s="204">
        <v>3</v>
      </c>
      <c r="H60" s="204">
        <v>564</v>
      </c>
      <c r="I60" s="204">
        <v>29</v>
      </c>
      <c r="J60" s="203">
        <f t="shared" si="1"/>
        <v>2602</v>
      </c>
      <c r="K60" s="102">
        <f t="shared" si="2"/>
        <v>0.36647887323943662</v>
      </c>
    </row>
    <row r="61" spans="1:11">
      <c r="A61" s="184">
        <v>2013</v>
      </c>
      <c r="B61" s="184">
        <v>2</v>
      </c>
      <c r="C61" s="184">
        <v>8.5299999999999994</v>
      </c>
      <c r="D61" s="204">
        <v>1453</v>
      </c>
      <c r="E61" s="204">
        <v>559</v>
      </c>
      <c r="F61" s="204">
        <v>99</v>
      </c>
      <c r="G61" s="204">
        <v>8</v>
      </c>
      <c r="H61" s="204">
        <v>742</v>
      </c>
      <c r="I61" s="204">
        <v>30</v>
      </c>
      <c r="J61" s="203">
        <f t="shared" si="1"/>
        <v>2891</v>
      </c>
      <c r="K61" s="102">
        <f t="shared" si="2"/>
        <v>0.33892145369284882</v>
      </c>
    </row>
    <row r="62" spans="1:11">
      <c r="A62" s="184">
        <v>2013</v>
      </c>
      <c r="B62" s="184">
        <v>3</v>
      </c>
      <c r="C62" s="184">
        <v>9.3000000000000007</v>
      </c>
      <c r="D62" s="204">
        <v>1689</v>
      </c>
      <c r="E62" s="205" t="s">
        <v>447</v>
      </c>
      <c r="F62" s="204">
        <v>728</v>
      </c>
      <c r="G62" s="204">
        <v>31</v>
      </c>
      <c r="H62" s="204">
        <v>822</v>
      </c>
      <c r="I62" s="204">
        <v>24</v>
      </c>
      <c r="J62" s="203">
        <f t="shared" si="1"/>
        <v>3294</v>
      </c>
      <c r="K62" s="102">
        <f t="shared" si="2"/>
        <v>0.35419354838709677</v>
      </c>
    </row>
    <row r="63" spans="1:11">
      <c r="A63" s="184">
        <v>2013</v>
      </c>
      <c r="B63" s="184">
        <v>4</v>
      </c>
      <c r="C63" s="184">
        <v>9.75</v>
      </c>
      <c r="D63" s="204">
        <v>1486</v>
      </c>
      <c r="E63" s="205" t="s">
        <v>447</v>
      </c>
      <c r="F63" s="204">
        <v>699</v>
      </c>
      <c r="G63" s="204">
        <v>42</v>
      </c>
      <c r="H63" s="204">
        <v>788</v>
      </c>
      <c r="I63" s="204">
        <v>25</v>
      </c>
      <c r="J63" s="203">
        <f t="shared" si="1"/>
        <v>3040</v>
      </c>
      <c r="K63" s="102">
        <f t="shared" si="2"/>
        <v>0.31179487179487181</v>
      </c>
    </row>
    <row r="64" spans="1:11">
      <c r="A64" s="184">
        <v>2014</v>
      </c>
      <c r="B64" s="184">
        <v>1</v>
      </c>
      <c r="C64" s="184">
        <v>9.94</v>
      </c>
      <c r="D64" s="204">
        <v>1341</v>
      </c>
      <c r="E64" s="205" t="s">
        <v>447</v>
      </c>
      <c r="F64" s="204">
        <v>780</v>
      </c>
      <c r="G64" s="204">
        <v>39</v>
      </c>
      <c r="H64" s="204">
        <v>728</v>
      </c>
      <c r="I64" s="204">
        <v>28</v>
      </c>
      <c r="J64" s="203">
        <f t="shared" si="1"/>
        <v>2916</v>
      </c>
      <c r="K64" s="102">
        <f t="shared" si="2"/>
        <v>0.29336016096579476</v>
      </c>
    </row>
    <row r="65" spans="1:11">
      <c r="A65" s="184">
        <v>2014</v>
      </c>
      <c r="B65" s="184">
        <v>2</v>
      </c>
      <c r="C65" s="184">
        <v>10.83</v>
      </c>
      <c r="D65" s="204">
        <v>1483</v>
      </c>
      <c r="E65" s="205" t="s">
        <v>447</v>
      </c>
      <c r="F65" s="204">
        <v>737</v>
      </c>
      <c r="G65" s="204">
        <v>31</v>
      </c>
      <c r="H65" s="204">
        <v>981</v>
      </c>
      <c r="I65" s="204">
        <v>34</v>
      </c>
      <c r="J65" s="203">
        <f t="shared" si="1"/>
        <v>3266</v>
      </c>
      <c r="K65" s="102">
        <f t="shared" si="2"/>
        <v>0.30156971375807939</v>
      </c>
    </row>
    <row r="66" spans="1:11">
      <c r="A66" s="184">
        <v>2014</v>
      </c>
      <c r="B66" s="184">
        <v>3</v>
      </c>
      <c r="C66" s="184">
        <v>12.03</v>
      </c>
      <c r="D66" s="204">
        <v>1757</v>
      </c>
      <c r="E66" s="205" t="s">
        <v>447</v>
      </c>
      <c r="F66" s="204">
        <v>657</v>
      </c>
      <c r="G66" s="204">
        <v>62</v>
      </c>
      <c r="H66" s="204">
        <v>957</v>
      </c>
      <c r="I66" s="204">
        <v>30</v>
      </c>
      <c r="J66" s="203">
        <f t="shared" si="1"/>
        <v>3463</v>
      </c>
      <c r="K66" s="102">
        <f t="shared" si="2"/>
        <v>0.28786367414796343</v>
      </c>
    </row>
    <row r="67" spans="1:11">
      <c r="A67" s="184">
        <v>2014</v>
      </c>
      <c r="B67" s="184">
        <v>4</v>
      </c>
      <c r="C67" s="184">
        <v>12.98</v>
      </c>
      <c r="D67" s="204">
        <v>1665</v>
      </c>
      <c r="E67" s="205" t="s">
        <v>447</v>
      </c>
      <c r="F67" s="204">
        <v>840</v>
      </c>
      <c r="G67" s="204">
        <v>63</v>
      </c>
      <c r="H67" s="204">
        <v>1009</v>
      </c>
      <c r="I67" s="204">
        <v>31</v>
      </c>
      <c r="J67" s="203">
        <f t="shared" si="1"/>
        <v>3608</v>
      </c>
      <c r="K67" s="102">
        <f t="shared" si="2"/>
        <v>0.27796610169491526</v>
      </c>
    </row>
    <row r="68" spans="1:11">
      <c r="A68" s="184">
        <v>2015</v>
      </c>
      <c r="B68" s="184">
        <v>1</v>
      </c>
      <c r="C68" s="184">
        <v>12.01</v>
      </c>
      <c r="D68" s="204">
        <v>1863</v>
      </c>
      <c r="E68" s="205" t="s">
        <v>447</v>
      </c>
      <c r="F68" s="204">
        <v>809</v>
      </c>
      <c r="G68" s="204">
        <v>50</v>
      </c>
      <c r="H68" s="204">
        <v>820</v>
      </c>
      <c r="I68" s="204">
        <v>33</v>
      </c>
      <c r="J68" s="203">
        <f t="shared" si="1"/>
        <v>3575</v>
      </c>
      <c r="K68" s="102">
        <f t="shared" si="2"/>
        <v>0.29766860949208995</v>
      </c>
    </row>
    <row r="69" spans="1:11">
      <c r="A69" s="184">
        <v>2015</v>
      </c>
      <c r="B69" s="184">
        <v>2</v>
      </c>
      <c r="C69" s="184">
        <v>11.44</v>
      </c>
      <c r="D69" s="204">
        <v>2219</v>
      </c>
      <c r="E69" s="205" t="s">
        <v>447</v>
      </c>
      <c r="F69" s="204">
        <v>637</v>
      </c>
      <c r="G69" s="204">
        <v>47</v>
      </c>
      <c r="H69" s="204">
        <v>920</v>
      </c>
      <c r="I69" s="204">
        <v>28</v>
      </c>
      <c r="J69" s="203">
        <f t="shared" si="1"/>
        <v>3851</v>
      </c>
      <c r="K69" s="102">
        <f t="shared" si="2"/>
        <v>0.33662587412587414</v>
      </c>
    </row>
    <row r="70" spans="1:11">
      <c r="A70" s="184">
        <v>2015</v>
      </c>
      <c r="B70" s="184">
        <v>3</v>
      </c>
      <c r="C70" s="184">
        <v>11.3</v>
      </c>
      <c r="D70" s="204">
        <v>2586</v>
      </c>
      <c r="E70" s="205" t="s">
        <v>447</v>
      </c>
      <c r="F70" s="204">
        <v>695</v>
      </c>
      <c r="G70" s="204">
        <v>40</v>
      </c>
      <c r="H70" s="204">
        <v>1200</v>
      </c>
      <c r="I70" s="204">
        <v>24</v>
      </c>
      <c r="J70" s="203">
        <f t="shared" si="1"/>
        <v>4545</v>
      </c>
      <c r="K70" s="102">
        <f t="shared" si="2"/>
        <v>0.402212389380531</v>
      </c>
    </row>
    <row r="71" spans="1:11">
      <c r="A71" s="184">
        <v>2015</v>
      </c>
      <c r="B71" s="184">
        <v>4</v>
      </c>
      <c r="C71" s="184">
        <v>10.27</v>
      </c>
      <c r="D71" s="204">
        <v>2619</v>
      </c>
      <c r="E71" s="205" t="s">
        <v>447</v>
      </c>
      <c r="F71" s="204">
        <v>642</v>
      </c>
      <c r="G71" s="204">
        <v>33</v>
      </c>
      <c r="H71" s="204">
        <v>1175</v>
      </c>
      <c r="I71" s="204">
        <v>29</v>
      </c>
      <c r="J71" s="203">
        <f t="shared" si="1"/>
        <v>4498</v>
      </c>
      <c r="K71" s="102">
        <f t="shared" si="2"/>
        <v>0.4379746835443038</v>
      </c>
    </row>
    <row r="72" spans="1:11">
      <c r="A72" s="184">
        <v>2016</v>
      </c>
      <c r="B72" s="184">
        <v>1</v>
      </c>
      <c r="C72" s="343">
        <v>8.56</v>
      </c>
      <c r="D72" s="204">
        <f>$J72*60.4%</f>
        <v>2025.212</v>
      </c>
      <c r="E72" s="205">
        <f>$J72*0%</f>
        <v>0</v>
      </c>
      <c r="F72" s="204">
        <f>$J72*10.4%</f>
        <v>348.71200000000005</v>
      </c>
      <c r="G72" s="204">
        <f>$J72*1.3%</f>
        <v>43.589000000000006</v>
      </c>
      <c r="H72" s="204">
        <f>$J72*26.9%</f>
        <v>901.95699999999988</v>
      </c>
      <c r="I72" s="204">
        <f>$J72*1%</f>
        <v>33.53</v>
      </c>
      <c r="J72" s="203">
        <v>3353</v>
      </c>
      <c r="K72" s="102">
        <f t="shared" ref="K72:K74" si="3">(J72*1000000)/(C72*1000000000)</f>
        <v>0.39170560747663546</v>
      </c>
    </row>
    <row r="73" spans="1:11" s="257" customFormat="1">
      <c r="A73" s="259">
        <v>2016</v>
      </c>
      <c r="B73" s="259">
        <v>2</v>
      </c>
      <c r="C73" s="343">
        <f>9.101</f>
        <v>9.1010000000000009</v>
      </c>
      <c r="D73" s="343">
        <v>2418</v>
      </c>
      <c r="E73" s="343">
        <v>0</v>
      </c>
      <c r="F73" s="343">
        <v>449</v>
      </c>
      <c r="G73" s="343">
        <v>41</v>
      </c>
      <c r="H73" s="343">
        <v>988</v>
      </c>
      <c r="I73" s="343">
        <v>33</v>
      </c>
      <c r="J73" s="203">
        <f t="shared" ref="J73:J74" si="4">SUM(D73:I73)</f>
        <v>3929</v>
      </c>
      <c r="K73" s="102">
        <f t="shared" si="3"/>
        <v>0.43171080101087794</v>
      </c>
    </row>
    <row r="74" spans="1:11" s="257" customFormat="1">
      <c r="A74" s="259">
        <v>2016</v>
      </c>
      <c r="B74" s="259">
        <v>3</v>
      </c>
      <c r="C74" s="343">
        <v>10.536</v>
      </c>
      <c r="D74" s="343">
        <v>2960</v>
      </c>
      <c r="E74" s="343">
        <v>0</v>
      </c>
      <c r="F74" s="343">
        <v>487</v>
      </c>
      <c r="G74" s="343">
        <v>59</v>
      </c>
      <c r="H74" s="343">
        <v>1047</v>
      </c>
      <c r="I74" s="343">
        <v>35</v>
      </c>
      <c r="J74" s="203">
        <f t="shared" si="4"/>
        <v>4588</v>
      </c>
      <c r="K74" s="102">
        <f t="shared" si="3"/>
        <v>0.43545937737281704</v>
      </c>
    </row>
    <row r="75" spans="1:11" s="257" customFormat="1">
      <c r="A75" s="259">
        <v>2016</v>
      </c>
      <c r="B75" s="259">
        <v>4</v>
      </c>
      <c r="C75" s="343">
        <v>12.454000000000001</v>
      </c>
      <c r="D75" s="343">
        <v>3373</v>
      </c>
      <c r="E75" s="343">
        <v>0</v>
      </c>
      <c r="F75" s="343">
        <v>678</v>
      </c>
      <c r="G75" s="343">
        <v>84</v>
      </c>
      <c r="H75" s="343">
        <v>1332</v>
      </c>
      <c r="I75" s="343">
        <v>37</v>
      </c>
      <c r="J75" s="203">
        <f t="shared" ref="J75" si="5">SUM(D75:I75)</f>
        <v>5504</v>
      </c>
      <c r="K75" s="102">
        <f t="shared" ref="K75" si="6">(J75*1000000)/(C75*1000000000)</f>
        <v>0.44194636261442105</v>
      </c>
    </row>
    <row r="76" spans="1:11" s="257" customFormat="1">
      <c r="A76" s="259"/>
      <c r="B76" s="259"/>
      <c r="C76" s="259"/>
      <c r="D76" s="259"/>
      <c r="E76" s="259"/>
      <c r="F76" s="259"/>
      <c r="G76" s="259"/>
      <c r="H76" s="259"/>
      <c r="I76" s="259"/>
      <c r="J76" s="259"/>
      <c r="K76" s="259"/>
    </row>
    <row r="77" spans="1:11">
      <c r="A77" s="33" t="s">
        <v>798</v>
      </c>
      <c r="B77" s="184"/>
      <c r="C77" s="184"/>
      <c r="D77" s="184"/>
      <c r="E77" s="184"/>
      <c r="F77" s="184"/>
      <c r="G77" s="184"/>
      <c r="H77" s="184"/>
      <c r="I77" s="184"/>
      <c r="J77" s="184"/>
      <c r="K77" s="184"/>
    </row>
    <row r="78" spans="1:11">
      <c r="A78" s="33" t="s">
        <v>799</v>
      </c>
      <c r="B78" s="184"/>
      <c r="C78" s="184"/>
      <c r="D78" s="184"/>
      <c r="E78" s="184"/>
      <c r="F78" s="184"/>
      <c r="G78" s="184"/>
      <c r="H78" s="184"/>
      <c r="I78" s="184"/>
      <c r="J78" s="184"/>
      <c r="K78" s="184"/>
    </row>
    <row r="79" spans="1:11">
      <c r="A79" t="s">
        <v>7</v>
      </c>
      <c r="B79" t="s">
        <v>7</v>
      </c>
    </row>
    <row r="80" spans="1:11">
      <c r="A80" t="s">
        <v>453</v>
      </c>
    </row>
    <row r="81" spans="1:6" ht="51" customHeight="1">
      <c r="A81" s="66" t="s">
        <v>0</v>
      </c>
      <c r="B81" s="75" t="s">
        <v>454</v>
      </c>
      <c r="C81" s="75" t="s">
        <v>455</v>
      </c>
      <c r="D81" s="75" t="s">
        <v>456</v>
      </c>
      <c r="E81" s="179"/>
    </row>
    <row r="82" spans="1:6">
      <c r="A82" s="184">
        <v>2007</v>
      </c>
      <c r="B82" s="184"/>
      <c r="C82" s="184"/>
      <c r="D82" s="491" t="s">
        <v>1512</v>
      </c>
    </row>
    <row r="83" spans="1:6">
      <c r="A83" s="184">
        <v>2008</v>
      </c>
      <c r="B83" s="184"/>
      <c r="C83" s="184"/>
      <c r="D83" s="181" t="s">
        <v>1511</v>
      </c>
    </row>
    <row r="84" spans="1:6">
      <c r="A84" s="184">
        <v>2009</v>
      </c>
      <c r="B84" s="184"/>
      <c r="C84" s="184"/>
      <c r="D84" s="491" t="s">
        <v>1513</v>
      </c>
    </row>
    <row r="85" spans="1:6">
      <c r="A85" s="184">
        <v>2010</v>
      </c>
      <c r="B85" s="184"/>
      <c r="C85" s="184"/>
      <c r="D85" s="491" t="s">
        <v>1514</v>
      </c>
    </row>
    <row r="86" spans="1:6">
      <c r="A86" s="184">
        <v>2011</v>
      </c>
      <c r="B86" s="184"/>
      <c r="C86" s="184"/>
      <c r="D86" s="491" t="s">
        <v>1515</v>
      </c>
    </row>
    <row r="87" spans="1:6">
      <c r="A87" s="184">
        <v>2012</v>
      </c>
      <c r="B87" s="92">
        <f>SUM(C56:C59)*1000000000</f>
        <v>26400000000.000004</v>
      </c>
      <c r="C87" s="92">
        <f>SUM(J56:J59)*1000000</f>
        <v>8713000000</v>
      </c>
      <c r="D87" s="101">
        <f>C87/B87</f>
        <v>0.33003787878787871</v>
      </c>
    </row>
    <row r="88" spans="1:6">
      <c r="A88" s="184">
        <v>2013</v>
      </c>
      <c r="B88" s="92">
        <f>SUM(C60:C63)*1000000000</f>
        <v>34680000000</v>
      </c>
      <c r="C88" s="92">
        <f>SUM(J60:J63)*1000000</f>
        <v>11827000000</v>
      </c>
      <c r="D88" s="101">
        <f t="shared" ref="D88:D90" si="7">C88/B88</f>
        <v>0.34103229527104961</v>
      </c>
    </row>
    <row r="89" spans="1:6">
      <c r="A89" s="184">
        <v>2014</v>
      </c>
      <c r="B89" s="92">
        <f>SUM(C64:C67)*1000000000</f>
        <v>45780000000</v>
      </c>
      <c r="C89" s="92">
        <f>SUM(J64:J67)*1000000</f>
        <v>13253000000</v>
      </c>
      <c r="D89" s="101">
        <f t="shared" si="7"/>
        <v>0.28949322848405418</v>
      </c>
    </row>
    <row r="90" spans="1:6">
      <c r="A90" s="184">
        <v>2015</v>
      </c>
      <c r="B90" s="92">
        <f>SUM(C68:C71)*1000000000</f>
        <v>45019999999.999992</v>
      </c>
      <c r="C90" s="92">
        <f>SUM(J68:J71)*1000000</f>
        <v>16469000000</v>
      </c>
      <c r="D90" s="101">
        <f t="shared" si="7"/>
        <v>0.36581519324744566</v>
      </c>
    </row>
    <row r="91" spans="1:6" s="257" customFormat="1">
      <c r="A91" s="343">
        <v>2016</v>
      </c>
      <c r="B91" s="346">
        <f>SUM(C72:C75)*1000000000</f>
        <v>40651000000</v>
      </c>
      <c r="C91" s="346">
        <f>SUM(J72:J75)*1000000</f>
        <v>17374000000</v>
      </c>
      <c r="D91" s="347">
        <f t="shared" ref="D91" si="8">C91/B91</f>
        <v>0.42739416004526332</v>
      </c>
      <c r="E91" s="116"/>
      <c r="F91" s="116"/>
    </row>
    <row r="92" spans="1:6" s="360" customFormat="1">
      <c r="A92" s="343"/>
      <c r="B92" s="346"/>
      <c r="C92" s="346"/>
      <c r="D92" s="347"/>
      <c r="E92" s="116"/>
      <c r="F92" s="116"/>
    </row>
    <row r="93" spans="1:6" s="360" customFormat="1">
      <c r="A93" s="343"/>
      <c r="B93" s="346"/>
      <c r="C93" s="346"/>
      <c r="D93" s="347"/>
      <c r="E93" s="116"/>
      <c r="F93" s="116"/>
    </row>
    <row r="94" spans="1:6" s="360" customFormat="1">
      <c r="A94" s="343"/>
      <c r="B94" s="346"/>
      <c r="C94" s="346"/>
      <c r="D94" s="347"/>
      <c r="E94" s="116"/>
      <c r="F94" s="116"/>
    </row>
    <row r="95" spans="1:6" s="360" customFormat="1">
      <c r="A95" s="343"/>
      <c r="B95" s="346"/>
      <c r="C95" s="346"/>
      <c r="D95" s="347"/>
      <c r="E95" s="116"/>
      <c r="F95" s="116"/>
    </row>
    <row r="96" spans="1:6" s="360" customFormat="1">
      <c r="A96" s="343"/>
      <c r="B96" s="346"/>
      <c r="C96" s="346"/>
      <c r="D96" s="347"/>
      <c r="E96" s="116"/>
      <c r="F96" s="116"/>
    </row>
    <row r="97" spans="1:7" s="360" customFormat="1">
      <c r="A97" s="343"/>
      <c r="B97" s="346"/>
      <c r="C97" s="346"/>
      <c r="D97" s="347"/>
      <c r="E97" s="116"/>
      <c r="F97" s="116"/>
    </row>
    <row r="98" spans="1:7" s="360" customFormat="1">
      <c r="A98" s="343"/>
      <c r="B98" s="346"/>
      <c r="C98" s="346"/>
      <c r="D98" s="347"/>
      <c r="E98" s="116"/>
      <c r="F98" s="116"/>
    </row>
    <row r="99" spans="1:7" s="360" customFormat="1">
      <c r="A99" s="343"/>
      <c r="B99" s="346"/>
      <c r="C99" s="346"/>
      <c r="D99" s="347"/>
      <c r="E99" s="116"/>
      <c r="F99" s="116"/>
    </row>
    <row r="100" spans="1:7" s="360" customFormat="1">
      <c r="A100" s="343"/>
      <c r="B100" s="346"/>
      <c r="C100" s="346"/>
      <c r="D100" s="347"/>
      <c r="E100" s="116"/>
      <c r="F100" s="116"/>
    </row>
    <row r="101" spans="1:7" s="360" customFormat="1">
      <c r="A101" s="343"/>
      <c r="B101" s="346"/>
      <c r="C101" s="346"/>
      <c r="D101" s="347"/>
      <c r="E101" s="116"/>
      <c r="F101" s="116"/>
    </row>
    <row r="102" spans="1:7" s="360" customFormat="1">
      <c r="A102" s="343"/>
      <c r="B102" s="346"/>
      <c r="C102" s="346"/>
      <c r="D102" s="347"/>
      <c r="E102" s="116"/>
      <c r="F102" s="116"/>
    </row>
    <row r="103" spans="1:7" s="360" customFormat="1">
      <c r="A103" s="343"/>
      <c r="B103" s="346"/>
      <c r="C103" s="346"/>
      <c r="D103" s="347"/>
      <c r="E103" s="116"/>
      <c r="F103" s="116"/>
    </row>
    <row r="105" spans="1:7" ht="31.95" customHeight="1">
      <c r="A105" s="538" t="s">
        <v>796</v>
      </c>
      <c r="B105" s="538"/>
      <c r="C105" s="538"/>
      <c r="D105" s="538"/>
      <c r="E105" s="538"/>
      <c r="F105" s="538"/>
      <c r="G105" s="538"/>
    </row>
    <row r="107" spans="1:7" ht="52.05" customHeight="1">
      <c r="A107" s="66" t="s">
        <v>0</v>
      </c>
      <c r="B107" s="75" t="s">
        <v>440</v>
      </c>
      <c r="C107" s="75" t="s">
        <v>787</v>
      </c>
      <c r="D107" s="75" t="s">
        <v>373</v>
      </c>
      <c r="E107" s="75" t="s">
        <v>457</v>
      </c>
      <c r="F107" s="75" t="s">
        <v>458</v>
      </c>
    </row>
    <row r="108" spans="1:7">
      <c r="A108" s="184">
        <v>2007</v>
      </c>
      <c r="B108" s="92">
        <f t="shared" ref="B108:B117" si="9">B35</f>
        <v>179940000</v>
      </c>
      <c r="C108" s="208"/>
      <c r="D108" s="92">
        <f t="shared" ref="D108:D113" si="10">D35</f>
        <v>154300000</v>
      </c>
      <c r="E108" s="101">
        <v>0.33</v>
      </c>
      <c r="F108" s="92">
        <f t="shared" ref="F108:F111" si="11">D108*E108</f>
        <v>50919000</v>
      </c>
    </row>
    <row r="109" spans="1:7">
      <c r="A109" s="184">
        <v>2008</v>
      </c>
      <c r="B109" s="92">
        <f t="shared" si="9"/>
        <v>142494000</v>
      </c>
      <c r="C109" s="208"/>
      <c r="D109" s="92">
        <f t="shared" si="10"/>
        <v>126900000</v>
      </c>
      <c r="E109" s="101">
        <v>0.33</v>
      </c>
      <c r="F109" s="92">
        <f t="shared" si="11"/>
        <v>41877000</v>
      </c>
    </row>
    <row r="110" spans="1:7">
      <c r="A110" s="184">
        <v>2009</v>
      </c>
      <c r="B110" s="92">
        <f t="shared" si="9"/>
        <v>113007000</v>
      </c>
      <c r="C110" s="208"/>
      <c r="D110" s="92">
        <f t="shared" si="10"/>
        <v>108000000</v>
      </c>
      <c r="E110" s="101">
        <v>0.33</v>
      </c>
      <c r="F110" s="92">
        <f t="shared" si="11"/>
        <v>35640000</v>
      </c>
    </row>
    <row r="111" spans="1:7">
      <c r="A111" s="184">
        <v>2010</v>
      </c>
      <c r="B111" s="92">
        <f t="shared" si="9"/>
        <v>323390000</v>
      </c>
      <c r="C111" s="208"/>
      <c r="D111" s="92">
        <f t="shared" si="10"/>
        <v>320155000</v>
      </c>
      <c r="E111" s="101">
        <v>0.33</v>
      </c>
      <c r="F111" s="92">
        <f t="shared" si="11"/>
        <v>105651150</v>
      </c>
    </row>
    <row r="112" spans="1:7">
      <c r="A112" s="184">
        <v>2011</v>
      </c>
      <c r="B112" s="92">
        <f t="shared" si="9"/>
        <v>312363000</v>
      </c>
      <c r="C112" s="208">
        <f t="shared" ref="C112:C117" si="12">C39</f>
        <v>0.96</v>
      </c>
      <c r="D112" s="92">
        <f t="shared" si="10"/>
        <v>299868480</v>
      </c>
      <c r="E112" s="101">
        <v>0.33</v>
      </c>
      <c r="F112" s="92">
        <f>D112*E112</f>
        <v>98956598.400000006</v>
      </c>
    </row>
    <row r="113" spans="1:6">
      <c r="A113" s="184">
        <v>2012</v>
      </c>
      <c r="B113" s="92">
        <f t="shared" si="9"/>
        <v>234051000</v>
      </c>
      <c r="C113" s="208">
        <f t="shared" si="12"/>
        <v>0.99</v>
      </c>
      <c r="D113" s="92">
        <f t="shared" si="10"/>
        <v>231710490</v>
      </c>
      <c r="E113" s="101">
        <f>D87</f>
        <v>0.33003787878787871</v>
      </c>
      <c r="F113" s="92">
        <f t="shared" ref="F113:F116" si="13">D113*E113</f>
        <v>76473238.612499982</v>
      </c>
    </row>
    <row r="114" spans="1:6">
      <c r="A114" s="184">
        <v>2013</v>
      </c>
      <c r="B114" s="92">
        <f t="shared" si="9"/>
        <v>271501000</v>
      </c>
      <c r="C114" s="208">
        <f t="shared" si="12"/>
        <v>0.97299999999999998</v>
      </c>
      <c r="D114" s="92">
        <f t="shared" ref="D114:D116" si="14">B114*C114</f>
        <v>264170473</v>
      </c>
      <c r="E114" s="101">
        <f>D88</f>
        <v>0.34103229527104961</v>
      </c>
      <c r="F114" s="92">
        <f t="shared" si="13"/>
        <v>90090662.750028834</v>
      </c>
    </row>
    <row r="115" spans="1:6">
      <c r="A115" s="184">
        <v>2014</v>
      </c>
      <c r="B115" s="92">
        <f t="shared" si="9"/>
        <v>296448000</v>
      </c>
      <c r="C115" s="208">
        <f t="shared" si="12"/>
        <v>0.91600000000000004</v>
      </c>
      <c r="D115" s="92">
        <f t="shared" si="14"/>
        <v>271546368</v>
      </c>
      <c r="E115" s="101">
        <f>D89</f>
        <v>0.28949322848405418</v>
      </c>
      <c r="F115" s="92">
        <f t="shared" si="13"/>
        <v>78610834.755439058</v>
      </c>
    </row>
    <row r="116" spans="1:6">
      <c r="A116" s="184">
        <v>2015</v>
      </c>
      <c r="B116" s="92">
        <f t="shared" si="9"/>
        <v>296278000</v>
      </c>
      <c r="C116" s="208">
        <f t="shared" si="12"/>
        <v>0.88600000000000001</v>
      </c>
      <c r="D116" s="92">
        <f t="shared" si="14"/>
        <v>262502308</v>
      </c>
      <c r="E116" s="101">
        <f>D90</f>
        <v>0.36581519324744566</v>
      </c>
      <c r="F116" s="92">
        <f t="shared" si="13"/>
        <v>96027332.528920501</v>
      </c>
    </row>
    <row r="117" spans="1:6">
      <c r="A117" s="343">
        <v>2016</v>
      </c>
      <c r="B117" s="92">
        <f t="shared" si="9"/>
        <v>336597000</v>
      </c>
      <c r="C117" s="208">
        <f t="shared" si="12"/>
        <v>0.78600000000000003</v>
      </c>
      <c r="D117" s="92">
        <f t="shared" ref="D117" si="15">B117*C117</f>
        <v>264565242</v>
      </c>
      <c r="E117" s="101">
        <f>D91</f>
        <v>0.42739416004526332</v>
      </c>
      <c r="F117" s="92">
        <f t="shared" ref="F117" si="16">D117*E117</f>
        <v>113073639.38176182</v>
      </c>
    </row>
  </sheetData>
  <sortState ref="A77:B79">
    <sortCondition ref="A77:A79"/>
  </sortState>
  <mergeCells count="7">
    <mergeCell ref="A105:G105"/>
    <mergeCell ref="A47:F47"/>
    <mergeCell ref="A8:F14"/>
    <mergeCell ref="A19:F19"/>
    <mergeCell ref="A16:F16"/>
    <mergeCell ref="A22:F22"/>
    <mergeCell ref="A24:F24"/>
  </mergeCells>
  <phoneticPr fontId="16" type="noConversion"/>
  <hyperlinks>
    <hyperlink ref="A77" r:id="rId1" display="Statista (sourced from DRAMExchange)"/>
    <hyperlink ref="A78" r:id="rId2"/>
    <hyperlink ref="E44" r:id="rId3"/>
  </hyperlinks>
  <pageMargins left="0.7" right="0.7" top="0.75" bottom="0.75" header="0.3" footer="0.3"/>
  <pageSetup orientation="landscape" horizontalDpi="4294967292" verticalDpi="4294967292" r:id="rId4"/>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7"/>
  <sheetViews>
    <sheetView showGridLines="0" view="pageLayout" topLeftCell="A31" zoomScale="82" zoomScalePageLayoutView="82" workbookViewId="0">
      <selection activeCell="A45" sqref="A45:F45"/>
    </sheetView>
  </sheetViews>
  <sheetFormatPr baseColWidth="10" defaultRowHeight="15.6"/>
  <cols>
    <col min="1" max="1" width="7.19921875" style="6" customWidth="1"/>
    <col min="2" max="2" width="15.69921875" style="6" customWidth="1"/>
    <col min="3" max="5" width="15.69921875" customWidth="1"/>
    <col min="6" max="6" width="33.19921875" customWidth="1"/>
    <col min="7" max="9" width="16.19921875" customWidth="1"/>
    <col min="10" max="10" width="24" customWidth="1"/>
    <col min="11" max="16" width="15.5" customWidth="1"/>
    <col min="17" max="17" width="12.5" bestFit="1" customWidth="1"/>
    <col min="18" max="20" width="24" customWidth="1"/>
    <col min="21" max="21" width="14.19921875" customWidth="1"/>
  </cols>
  <sheetData>
    <row r="2" spans="1:6">
      <c r="A2" s="189" t="s">
        <v>504</v>
      </c>
    </row>
    <row r="3" spans="1:6" ht="18">
      <c r="A3" s="103" t="str">
        <f>CONCATENATE(VLOOKUP($A$2,'Table of Contents'!$B:$E,4,FALSE)," ",$A$2)</f>
        <v>3.7 Acacia Technologies</v>
      </c>
      <c r="B3" s="103"/>
    </row>
    <row r="4" spans="1:6" ht="18">
      <c r="A4" t="str">
        <f>VLOOKUP($A$2,'Table of Contents'!$B:$E,3,FALSE)</f>
        <v>Public Corp</v>
      </c>
      <c r="B4" s="104"/>
    </row>
    <row r="5" spans="1:6">
      <c r="A5" s="54" t="str">
        <f>VLOOKUP($A$2,'Table of Contents'!$B:$E,2,FALSE)</f>
        <v>Approximated</v>
      </c>
      <c r="B5" s="105"/>
    </row>
    <row r="7" spans="1:6">
      <c r="A7" s="9" t="s">
        <v>505</v>
      </c>
    </row>
    <row r="8" spans="1:6">
      <c r="A8" s="564" t="s">
        <v>807</v>
      </c>
      <c r="B8" s="564"/>
      <c r="C8" s="564"/>
      <c r="D8" s="564"/>
      <c r="E8" s="564"/>
      <c r="F8" s="564"/>
    </row>
    <row r="9" spans="1:6">
      <c r="A9" s="564"/>
      <c r="B9" s="564"/>
      <c r="C9" s="564"/>
      <c r="D9" s="564"/>
      <c r="E9" s="564"/>
      <c r="F9" s="564"/>
    </row>
    <row r="10" spans="1:6" ht="51" customHeight="1">
      <c r="A10" s="564"/>
      <c r="B10" s="564"/>
      <c r="C10" s="564"/>
      <c r="D10" s="564"/>
      <c r="E10" s="564"/>
      <c r="F10" s="564"/>
    </row>
    <row r="12" spans="1:6">
      <c r="A12" s="9" t="s">
        <v>539</v>
      </c>
    </row>
    <row r="13" spans="1:6">
      <c r="A13" s="564" t="s">
        <v>811</v>
      </c>
      <c r="B13" s="564"/>
      <c r="C13" s="564"/>
      <c r="D13" s="564"/>
      <c r="E13" s="564"/>
      <c r="F13" s="564"/>
    </row>
    <row r="14" spans="1:6">
      <c r="A14" s="564"/>
      <c r="B14" s="564"/>
      <c r="C14" s="564"/>
      <c r="D14" s="564"/>
      <c r="E14" s="564"/>
      <c r="F14" s="564"/>
    </row>
    <row r="15" spans="1:6">
      <c r="A15" s="564"/>
      <c r="B15" s="564"/>
      <c r="C15" s="564"/>
      <c r="D15" s="564"/>
      <c r="E15" s="564"/>
      <c r="F15" s="564"/>
    </row>
    <row r="16" spans="1:6">
      <c r="A16" s="210"/>
      <c r="B16" s="210"/>
      <c r="C16" s="210"/>
      <c r="D16" s="210"/>
      <c r="E16" s="210"/>
      <c r="F16" s="210"/>
    </row>
    <row r="17" spans="1:6">
      <c r="A17" s="9" t="s">
        <v>538</v>
      </c>
    </row>
    <row r="18" spans="1:6">
      <c r="A18" s="565" t="s">
        <v>809</v>
      </c>
      <c r="B18" s="565"/>
      <c r="C18" s="565"/>
      <c r="D18" s="565"/>
      <c r="E18" s="565"/>
      <c r="F18" s="565"/>
    </row>
    <row r="19" spans="1:6" ht="6" customHeight="1">
      <c r="A19" s="565"/>
      <c r="B19" s="565"/>
      <c r="C19" s="565"/>
      <c r="D19" s="565"/>
      <c r="E19" s="565"/>
      <c r="F19" s="565"/>
    </row>
    <row r="20" spans="1:6" ht="6" customHeight="1">
      <c r="A20" s="565"/>
      <c r="B20" s="565"/>
      <c r="C20" s="565"/>
      <c r="D20" s="565"/>
      <c r="E20" s="565"/>
      <c r="F20" s="565"/>
    </row>
    <row r="21" spans="1:6">
      <c r="A21" s="9" t="s">
        <v>308</v>
      </c>
    </row>
    <row r="22" spans="1:6">
      <c r="A22" s="564" t="s">
        <v>810</v>
      </c>
      <c r="B22" s="564"/>
      <c r="C22" s="564"/>
      <c r="D22" s="564"/>
      <c r="E22" s="564"/>
      <c r="F22" s="564"/>
    </row>
    <row r="23" spans="1:6">
      <c r="A23" s="564"/>
      <c r="B23" s="564"/>
      <c r="C23" s="564"/>
      <c r="D23" s="564"/>
      <c r="E23" s="564"/>
      <c r="F23" s="564"/>
    </row>
    <row r="24" spans="1:6">
      <c r="A24" s="564"/>
      <c r="B24" s="564"/>
      <c r="C24" s="564"/>
      <c r="D24" s="564"/>
      <c r="E24" s="564"/>
      <c r="F24" s="564"/>
    </row>
    <row r="25" spans="1:6" ht="84" customHeight="1">
      <c r="A25" s="564"/>
      <c r="B25" s="564"/>
      <c r="C25" s="564"/>
      <c r="D25" s="564"/>
      <c r="E25" s="564"/>
      <c r="F25" s="564"/>
    </row>
    <row r="27" spans="1:6" s="360" customFormat="1">
      <c r="A27" s="6"/>
      <c r="B27" s="6"/>
    </row>
    <row r="28" spans="1:6">
      <c r="A28" s="107" t="s">
        <v>782</v>
      </c>
    </row>
    <row r="29" spans="1:6" ht="31.05" customHeight="1">
      <c r="A29" s="540" t="s">
        <v>808</v>
      </c>
      <c r="B29" s="540"/>
      <c r="C29" s="540"/>
      <c r="D29" s="540"/>
      <c r="E29" s="540"/>
      <c r="F29" s="540"/>
    </row>
    <row r="30" spans="1:6">
      <c r="B30" s="72"/>
    </row>
    <row r="31" spans="1:6" ht="31.2">
      <c r="A31" s="106" t="s">
        <v>0</v>
      </c>
      <c r="B31" s="75" t="s">
        <v>660</v>
      </c>
      <c r="C31" s="75" t="s">
        <v>659</v>
      </c>
      <c r="D31" s="75" t="s">
        <v>661</v>
      </c>
      <c r="E31" s="75" t="s">
        <v>6</v>
      </c>
      <c r="F31" s="75"/>
    </row>
    <row r="32" spans="1:6">
      <c r="A32" s="35">
        <v>2007</v>
      </c>
      <c r="B32" s="209">
        <v>52597000</v>
      </c>
      <c r="C32" s="209"/>
      <c r="D32" s="209">
        <f>B32-C32</f>
        <v>52597000</v>
      </c>
      <c r="E32" s="183" t="s">
        <v>95</v>
      </c>
    </row>
    <row r="33" spans="1:12">
      <c r="A33" s="35">
        <v>2008</v>
      </c>
      <c r="B33" s="209">
        <v>48227000</v>
      </c>
      <c r="C33" s="209"/>
      <c r="D33" s="209">
        <f t="shared" ref="D33:D41" si="0">B33-C33</f>
        <v>48227000</v>
      </c>
      <c r="E33" s="183" t="s">
        <v>95</v>
      </c>
    </row>
    <row r="34" spans="1:12">
      <c r="A34" s="35">
        <v>2009</v>
      </c>
      <c r="B34" s="209">
        <v>67340000</v>
      </c>
      <c r="C34" s="209"/>
      <c r="D34" s="209">
        <f t="shared" si="0"/>
        <v>67340000</v>
      </c>
      <c r="E34" s="183" t="s">
        <v>96</v>
      </c>
    </row>
    <row r="35" spans="1:12">
      <c r="A35" s="35">
        <v>2010</v>
      </c>
      <c r="B35" s="209">
        <v>131829000</v>
      </c>
      <c r="C35" s="209"/>
      <c r="D35" s="209">
        <f t="shared" si="0"/>
        <v>131829000</v>
      </c>
      <c r="E35" s="183" t="s">
        <v>97</v>
      </c>
    </row>
    <row r="36" spans="1:12">
      <c r="A36" s="35">
        <f>A35+1</f>
        <v>2011</v>
      </c>
      <c r="B36" s="209">
        <v>184707000</v>
      </c>
      <c r="C36" s="209">
        <v>8600000</v>
      </c>
      <c r="D36" s="209">
        <f t="shared" si="0"/>
        <v>176107000</v>
      </c>
      <c r="E36" s="183" t="s">
        <v>98</v>
      </c>
    </row>
    <row r="37" spans="1:12">
      <c r="A37" s="35">
        <f t="shared" ref="A37:A41" si="1">A36+1</f>
        <v>2012</v>
      </c>
      <c r="B37" s="209">
        <v>250727000</v>
      </c>
      <c r="C37" s="209">
        <v>41200000</v>
      </c>
      <c r="D37" s="209">
        <f t="shared" si="0"/>
        <v>209527000</v>
      </c>
      <c r="E37" s="183" t="s">
        <v>98</v>
      </c>
    </row>
    <row r="38" spans="1:12">
      <c r="A38" s="35">
        <f t="shared" si="1"/>
        <v>2013</v>
      </c>
      <c r="B38" s="209">
        <v>130556000</v>
      </c>
      <c r="C38" s="209">
        <v>9900000</v>
      </c>
      <c r="D38" s="209">
        <f t="shared" si="0"/>
        <v>120656000</v>
      </c>
      <c r="E38" s="183" t="s">
        <v>98</v>
      </c>
    </row>
    <row r="39" spans="1:12">
      <c r="A39" s="35">
        <f t="shared" si="1"/>
        <v>2014</v>
      </c>
      <c r="B39" s="209">
        <v>130876000</v>
      </c>
      <c r="C39" s="209"/>
      <c r="D39" s="209">
        <f t="shared" si="0"/>
        <v>130876000</v>
      </c>
      <c r="E39" s="183" t="s">
        <v>98</v>
      </c>
    </row>
    <row r="40" spans="1:12">
      <c r="A40" s="35">
        <f t="shared" si="1"/>
        <v>2015</v>
      </c>
      <c r="B40" s="209">
        <v>125037000</v>
      </c>
      <c r="C40" s="209"/>
      <c r="D40" s="209">
        <f t="shared" si="0"/>
        <v>125037000</v>
      </c>
      <c r="E40" s="183" t="s">
        <v>98</v>
      </c>
    </row>
    <row r="41" spans="1:12">
      <c r="A41" s="259">
        <f t="shared" si="1"/>
        <v>2016</v>
      </c>
      <c r="B41" s="140">
        <v>152699000</v>
      </c>
      <c r="D41" s="209">
        <f t="shared" si="0"/>
        <v>152699000</v>
      </c>
      <c r="E41" s="265" t="s">
        <v>886</v>
      </c>
    </row>
    <row r="43" spans="1:12">
      <c r="A43" s="6" t="s">
        <v>2</v>
      </c>
    </row>
    <row r="44" spans="1:12">
      <c r="A44" s="468"/>
    </row>
    <row r="45" spans="1:12" ht="16.2" customHeight="1">
      <c r="A45" s="562" t="s">
        <v>1486</v>
      </c>
      <c r="B45" s="562"/>
      <c r="C45" s="562"/>
      <c r="D45" s="562"/>
      <c r="E45" s="562"/>
      <c r="F45" s="562"/>
    </row>
    <row r="46" spans="1:12" s="360" customFormat="1" ht="34.200000000000003" customHeight="1">
      <c r="A46" s="563" t="s">
        <v>1485</v>
      </c>
      <c r="B46" s="563"/>
      <c r="C46" s="563"/>
      <c r="D46" s="563"/>
      <c r="E46" s="563"/>
      <c r="F46" s="563"/>
      <c r="G46"/>
      <c r="H46"/>
      <c r="I46"/>
      <c r="J46"/>
      <c r="K46"/>
      <c r="L46"/>
    </row>
    <row r="47" spans="1:12" ht="36.450000000000003" customHeight="1">
      <c r="A47" s="564" t="s">
        <v>1487</v>
      </c>
      <c r="B47" s="564"/>
      <c r="C47" s="564"/>
      <c r="D47" s="564"/>
      <c r="E47" s="564"/>
      <c r="F47" s="564"/>
    </row>
  </sheetData>
  <mergeCells count="8">
    <mergeCell ref="A45:F45"/>
    <mergeCell ref="A46:F46"/>
    <mergeCell ref="A47:F47"/>
    <mergeCell ref="A29:F29"/>
    <mergeCell ref="A8:F10"/>
    <mergeCell ref="A13:F15"/>
    <mergeCell ref="A18:F20"/>
    <mergeCell ref="A22:F25"/>
  </mergeCells>
  <phoneticPr fontId="16" type="noConversion"/>
  <hyperlinks>
    <hyperlink ref="E41"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and Lew Zaretzki&amp;C&amp;P of &amp;N</oddFooter>
  </headerFooter>
  <extLst>
    <ext xmlns:mx="http://schemas.microsoft.com/office/mac/excel/2008/main" uri="{64002731-A6B0-56B0-2670-7721B7C09600}">
      <mx:PLV Mode="1" OnePage="0" WScale="10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7"/>
  <sheetViews>
    <sheetView showGridLines="0" view="pageLayout" workbookViewId="0">
      <selection activeCell="A3" sqref="A3"/>
    </sheetView>
  </sheetViews>
  <sheetFormatPr baseColWidth="10" defaultRowHeight="15.6"/>
  <cols>
    <col min="1" max="1" width="18.796875" customWidth="1"/>
    <col min="2" max="2" width="21.69921875" customWidth="1"/>
    <col min="3" max="4" width="29.19921875" customWidth="1"/>
    <col min="5" max="5" width="59.69921875" customWidth="1"/>
    <col min="6" max="6" width="12.296875" customWidth="1"/>
  </cols>
  <sheetData>
    <row r="2" spans="1:4">
      <c r="A2" s="143" t="s">
        <v>1401</v>
      </c>
    </row>
    <row r="3" spans="1:4" ht="18">
      <c r="A3" s="53" t="str">
        <f>CONCATENATE(VLOOKUP($A$2,'Table of Contents'!$B:$E,4,FALSE)," ",$A$2)</f>
        <v>3.8 Quarterhill</v>
      </c>
    </row>
    <row r="4" spans="1:4">
      <c r="A4" t="str">
        <f>VLOOKUP($A$2,'Table of Contents'!$B:$E,3,FALSE)</f>
        <v>Public Corp</v>
      </c>
    </row>
    <row r="5" spans="1:4">
      <c r="A5" s="54" t="str">
        <f>VLOOKUP($A$2,'Table of Contents'!$B:$E,2,FALSE)</f>
        <v>Approximated</v>
      </c>
    </row>
    <row r="6" spans="1:4">
      <c r="A6" s="54"/>
    </row>
    <row r="7" spans="1:4">
      <c r="A7" s="9" t="s">
        <v>505</v>
      </c>
    </row>
    <row r="8" spans="1:4" ht="82.95" customHeight="1">
      <c r="A8" s="538" t="s">
        <v>1490</v>
      </c>
      <c r="B8" s="538"/>
      <c r="C8" s="538"/>
      <c r="D8" s="538"/>
    </row>
    <row r="10" spans="1:4">
      <c r="A10" s="9" t="s">
        <v>539</v>
      </c>
    </row>
    <row r="11" spans="1:4" ht="67.8" customHeight="1">
      <c r="A11" s="560" t="s">
        <v>1489</v>
      </c>
      <c r="B11" s="560"/>
      <c r="C11" s="560"/>
      <c r="D11" s="560"/>
    </row>
    <row r="13" spans="1:4">
      <c r="A13" s="9" t="s">
        <v>538</v>
      </c>
    </row>
    <row r="14" spans="1:4" ht="34.049999999999997" customHeight="1">
      <c r="A14" s="560" t="s">
        <v>806</v>
      </c>
      <c r="B14" s="560"/>
      <c r="C14" s="560"/>
      <c r="D14" s="560"/>
    </row>
    <row r="16" spans="1:4">
      <c r="A16" s="9" t="s">
        <v>308</v>
      </c>
    </row>
    <row r="17" spans="1:4" ht="94.8" customHeight="1">
      <c r="A17" s="560" t="s">
        <v>1488</v>
      </c>
      <c r="B17" s="560"/>
      <c r="C17" s="560"/>
      <c r="D17" s="560"/>
    </row>
    <row r="18" spans="1:4" ht="31.95" customHeight="1">
      <c r="A18" s="533"/>
      <c r="B18" s="533"/>
      <c r="C18" s="533"/>
      <c r="D18" s="533"/>
    </row>
    <row r="19" spans="1:4">
      <c r="A19" s="9" t="s">
        <v>782</v>
      </c>
    </row>
    <row r="20" spans="1:4" ht="52.05" customHeight="1">
      <c r="A20" s="66" t="s">
        <v>0</v>
      </c>
      <c r="B20" s="75" t="s">
        <v>805</v>
      </c>
      <c r="C20" s="75" t="s">
        <v>6</v>
      </c>
    </row>
    <row r="21" spans="1:4">
      <c r="A21" s="35">
        <v>2007</v>
      </c>
      <c r="B21" s="96">
        <v>61270000</v>
      </c>
    </row>
    <row r="22" spans="1:4">
      <c r="A22" s="35">
        <f t="shared" ref="A22:A28" si="0">A21-1</f>
        <v>2006</v>
      </c>
      <c r="B22" s="96">
        <v>26564000</v>
      </c>
    </row>
    <row r="23" spans="1:4">
      <c r="A23" s="35">
        <f t="shared" si="0"/>
        <v>2005</v>
      </c>
      <c r="B23" s="96">
        <v>35425000</v>
      </c>
    </row>
    <row r="24" spans="1:4">
      <c r="A24" s="35">
        <f t="shared" si="0"/>
        <v>2004</v>
      </c>
      <c r="B24" s="96">
        <v>45557000</v>
      </c>
    </row>
    <row r="25" spans="1:4" ht="16.05" customHeight="1">
      <c r="A25" s="35">
        <f t="shared" si="0"/>
        <v>2003</v>
      </c>
      <c r="B25" s="96">
        <v>104813000</v>
      </c>
    </row>
    <row r="26" spans="1:4">
      <c r="A26" s="35">
        <f t="shared" si="0"/>
        <v>2002</v>
      </c>
      <c r="B26" s="96">
        <v>87960000</v>
      </c>
    </row>
    <row r="27" spans="1:4">
      <c r="A27" s="35">
        <f t="shared" si="0"/>
        <v>2001</v>
      </c>
      <c r="B27" s="96">
        <v>88209000</v>
      </c>
    </row>
    <row r="28" spans="1:4">
      <c r="A28" s="35">
        <f t="shared" si="0"/>
        <v>2000</v>
      </c>
      <c r="B28" s="96">
        <v>98311000</v>
      </c>
    </row>
    <row r="29" spans="1:4" ht="16.05" customHeight="1">
      <c r="A29" s="35">
        <v>2015</v>
      </c>
      <c r="B29" s="96">
        <v>102855000</v>
      </c>
    </row>
    <row r="30" spans="1:4">
      <c r="A30" s="259">
        <v>2016</v>
      </c>
      <c r="B30" s="96">
        <v>92876000</v>
      </c>
      <c r="C30" s="33" t="s">
        <v>887</v>
      </c>
    </row>
    <row r="31" spans="1:4" ht="16.05" customHeight="1">
      <c r="A31" s="118"/>
    </row>
    <row r="34" spans="1:1" ht="16.05" customHeight="1">
      <c r="A34" s="118"/>
    </row>
    <row r="35" spans="1:1">
      <c r="A35" s="118"/>
    </row>
    <row r="36" spans="1:1">
      <c r="A36" s="118"/>
    </row>
    <row r="37" spans="1:1" ht="16.05" customHeight="1"/>
  </sheetData>
  <sortState ref="A24:B32">
    <sortCondition ref="A24:A32"/>
  </sortState>
  <mergeCells count="5">
    <mergeCell ref="A18:D18"/>
    <mergeCell ref="A8:D8"/>
    <mergeCell ref="A11:D11"/>
    <mergeCell ref="A14:D14"/>
    <mergeCell ref="A17:D17"/>
  </mergeCells>
  <phoneticPr fontId="16" type="noConversion"/>
  <hyperlinks>
    <hyperlink ref="C30" r:id="rId1" display="Annual Information Form, FY end Dec 31, 2016"/>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86"/>
  <sheetViews>
    <sheetView showGridLines="0" view="pageLayout" workbookViewId="0">
      <selection activeCell="D6" sqref="D6"/>
    </sheetView>
  </sheetViews>
  <sheetFormatPr baseColWidth="10" defaultRowHeight="15.6"/>
  <cols>
    <col min="2" max="2" width="15" customWidth="1"/>
    <col min="3" max="3" width="18" customWidth="1"/>
    <col min="6" max="6" width="12" customWidth="1"/>
  </cols>
  <sheetData>
    <row r="2" spans="1:6">
      <c r="A2" s="143" t="s">
        <v>433</v>
      </c>
    </row>
    <row r="3" spans="1:6" ht="18">
      <c r="A3" s="53" t="str">
        <f>CONCATENATE(VLOOKUP($A$2,'Table of Contents'!$B:$E,4,FALSE)," ",$A$2)</f>
        <v>3.9 Parkervision</v>
      </c>
    </row>
    <row r="4" spans="1:6">
      <c r="A4" t="str">
        <f>VLOOKUP($A$2,'Table of Contents'!$B:$E,3,FALSE)</f>
        <v>Public Corp</v>
      </c>
    </row>
    <row r="5" spans="1:6">
      <c r="A5" s="54" t="str">
        <f>VLOOKUP($A$2,'Table of Contents'!$B:$E,2,FALSE)</f>
        <v>Confirmed</v>
      </c>
    </row>
    <row r="7" spans="1:6">
      <c r="A7" s="9" t="s">
        <v>658</v>
      </c>
    </row>
    <row r="8" spans="1:6" ht="64.95" customHeight="1">
      <c r="A8" s="553" t="s">
        <v>737</v>
      </c>
      <c r="B8" s="553"/>
      <c r="C8" s="553"/>
      <c r="D8" s="553"/>
      <c r="E8" s="553"/>
      <c r="F8" s="553"/>
    </row>
    <row r="9" spans="1:6">
      <c r="A9" s="9"/>
    </row>
    <row r="10" spans="1:6">
      <c r="A10" s="9" t="s">
        <v>539</v>
      </c>
    </row>
    <row r="11" spans="1:6">
      <c r="A11" s="9"/>
    </row>
    <row r="12" spans="1:6" ht="31.2">
      <c r="A12" s="66" t="s">
        <v>0</v>
      </c>
      <c r="B12" s="75" t="s">
        <v>656</v>
      </c>
      <c r="C12" s="66" t="s">
        <v>6</v>
      </c>
      <c r="D12" s="66" t="s">
        <v>876</v>
      </c>
    </row>
    <row r="13" spans="1:6">
      <c r="A13" s="35">
        <v>2005</v>
      </c>
      <c r="B13" s="95">
        <v>0</v>
      </c>
    </row>
    <row r="14" spans="1:6">
      <c r="A14" s="35">
        <v>2006</v>
      </c>
      <c r="B14" s="95">
        <v>0</v>
      </c>
    </row>
    <row r="15" spans="1:6">
      <c r="A15" s="35">
        <v>2007</v>
      </c>
      <c r="B15" s="95">
        <v>0</v>
      </c>
    </row>
    <row r="16" spans="1:6">
      <c r="A16" s="35">
        <v>2008</v>
      </c>
      <c r="B16" s="95">
        <v>0</v>
      </c>
    </row>
    <row r="17" spans="1:4">
      <c r="A17" s="35">
        <v>2009</v>
      </c>
      <c r="B17" s="95">
        <v>0</v>
      </c>
    </row>
    <row r="18" spans="1:4">
      <c r="A18" s="35">
        <v>2010</v>
      </c>
      <c r="B18" s="95">
        <v>0</v>
      </c>
    </row>
    <row r="19" spans="1:4">
      <c r="A19" s="35">
        <v>2011</v>
      </c>
      <c r="B19" s="95">
        <v>0</v>
      </c>
    </row>
    <row r="20" spans="1:4">
      <c r="A20" s="35">
        <v>2012</v>
      </c>
      <c r="B20" s="95">
        <v>0</v>
      </c>
    </row>
    <row r="21" spans="1:4">
      <c r="A21" s="35">
        <v>2013</v>
      </c>
      <c r="B21" s="95">
        <v>0</v>
      </c>
    </row>
    <row r="22" spans="1:4">
      <c r="A22" s="35">
        <v>2014</v>
      </c>
      <c r="B22" s="95">
        <v>0</v>
      </c>
    </row>
    <row r="23" spans="1:4">
      <c r="A23" s="35">
        <v>2015</v>
      </c>
      <c r="B23" s="95">
        <v>0</v>
      </c>
    </row>
    <row r="24" spans="1:4">
      <c r="A24" s="264">
        <v>2016</v>
      </c>
      <c r="B24" s="96">
        <v>4064187</v>
      </c>
      <c r="C24" t="s">
        <v>877</v>
      </c>
      <c r="D24" s="33" t="s">
        <v>875</v>
      </c>
    </row>
    <row r="25" spans="1:4">
      <c r="A25" s="9"/>
    </row>
    <row r="26" spans="1:4">
      <c r="A26" s="9"/>
    </row>
    <row r="27" spans="1:4">
      <c r="A27" s="9"/>
    </row>
    <row r="29" spans="1:4">
      <c r="A29" s="9"/>
    </row>
    <row r="30" spans="1:4">
      <c r="A30" s="9"/>
    </row>
    <row r="31" spans="1:4">
      <c r="A31" s="9"/>
    </row>
    <row r="32" spans="1:4">
      <c r="A32" s="9"/>
    </row>
    <row r="33" spans="1:1">
      <c r="A33" s="9"/>
    </row>
    <row r="34" spans="1:1">
      <c r="A34" s="33"/>
    </row>
    <row r="35" spans="1:1">
      <c r="A35" s="33"/>
    </row>
    <row r="36" spans="1:1">
      <c r="A36" s="9"/>
    </row>
    <row r="37" spans="1:1">
      <c r="A37" s="33"/>
    </row>
    <row r="38" spans="1:1">
      <c r="A38" s="33"/>
    </row>
    <row r="40" spans="1:1">
      <c r="A40" s="33"/>
    </row>
    <row r="41" spans="1:1">
      <c r="A41" s="33"/>
    </row>
    <row r="42" spans="1:1">
      <c r="A42" s="33"/>
    </row>
    <row r="86" ht="28.95" customHeight="1"/>
  </sheetData>
  <mergeCells count="1">
    <mergeCell ref="A8:F8"/>
  </mergeCells>
  <phoneticPr fontId="16" type="noConversion"/>
  <hyperlinks>
    <hyperlink ref="D24" r:id="rId1" display="Samsung Agreement"/>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legacyDrawing r:id="rId3"/>
  <extLst>
    <ext xmlns:mx="http://schemas.microsoft.com/office/mac/excel/2008/main" uri="{64002731-A6B0-56B0-2670-7721B7C09600}">
      <mx:PLV Mode="1" OnePage="0" WScale="10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showGridLines="0" view="pageLayout" topLeftCell="A5" workbookViewId="0"/>
  </sheetViews>
  <sheetFormatPr baseColWidth="10" defaultRowHeight="15.6"/>
  <cols>
    <col min="2" max="4" width="19.5" customWidth="1"/>
    <col min="5" max="5" width="36" customWidth="1"/>
  </cols>
  <sheetData>
    <row r="2" spans="1:5">
      <c r="A2" s="190" t="s">
        <v>313</v>
      </c>
    </row>
    <row r="3" spans="1:5" ht="18">
      <c r="A3" s="53" t="str">
        <f>CONCATENATE(VLOOKUP($A$2,'Table of Contents'!$B:$E,4,FALSE)," ",$A$2)</f>
        <v>3.10 Unwired Planet</v>
      </c>
    </row>
    <row r="4" spans="1:5">
      <c r="A4" t="str">
        <f>VLOOKUP($A$2,'Table of Contents'!$B:$E,3,FALSE)</f>
        <v>Public Corp</v>
      </c>
    </row>
    <row r="5" spans="1:5">
      <c r="A5" s="54" t="str">
        <f>VLOOKUP($A$2,'Table of Contents'!$B:$E,2,FALSE)</f>
        <v>Confirmed</v>
      </c>
    </row>
    <row r="6" spans="1:5">
      <c r="A6" s="54"/>
    </row>
    <row r="7" spans="1:5">
      <c r="A7" s="9" t="s">
        <v>657</v>
      </c>
    </row>
    <row r="8" spans="1:5" ht="78" customHeight="1">
      <c r="A8" s="548" t="s">
        <v>655</v>
      </c>
      <c r="B8" s="548"/>
      <c r="C8" s="548"/>
      <c r="D8" s="548"/>
      <c r="E8" s="548"/>
    </row>
    <row r="9" spans="1:5">
      <c r="A9" s="54"/>
    </row>
    <row r="10" spans="1:5" ht="30" customHeight="1">
      <c r="A10" s="566" t="s">
        <v>654</v>
      </c>
      <c r="B10" s="566"/>
      <c r="C10" s="566"/>
      <c r="D10" s="566"/>
      <c r="E10" s="566"/>
    </row>
    <row r="11" spans="1:5">
      <c r="A11" s="54"/>
    </row>
    <row r="12" spans="1:5">
      <c r="A12" s="9" t="s">
        <v>539</v>
      </c>
    </row>
    <row r="13" spans="1:5">
      <c r="A13" s="75" t="s">
        <v>0</v>
      </c>
      <c r="B13" s="75" t="s">
        <v>653</v>
      </c>
      <c r="C13" s="75" t="s">
        <v>6</v>
      </c>
      <c r="E13" s="75" t="s">
        <v>879</v>
      </c>
    </row>
    <row r="14" spans="1:5">
      <c r="A14" s="35">
        <v>2011</v>
      </c>
      <c r="B14" s="114">
        <v>4019000</v>
      </c>
      <c r="C14" t="s">
        <v>370</v>
      </c>
    </row>
    <row r="15" spans="1:5">
      <c r="A15" s="35">
        <v>2012</v>
      </c>
      <c r="B15" s="114">
        <v>15050000</v>
      </c>
      <c r="C15" t="s">
        <v>370</v>
      </c>
    </row>
    <row r="16" spans="1:5">
      <c r="A16" s="35">
        <v>2013</v>
      </c>
      <c r="B16" s="114">
        <v>121000</v>
      </c>
      <c r="C16" t="s">
        <v>370</v>
      </c>
    </row>
    <row r="17" spans="1:5">
      <c r="A17" s="35">
        <v>2014</v>
      </c>
      <c r="B17" s="114">
        <v>36396000</v>
      </c>
      <c r="C17" t="s">
        <v>370</v>
      </c>
    </row>
    <row r="18" spans="1:5">
      <c r="A18" s="35">
        <v>2015</v>
      </c>
      <c r="B18" s="114">
        <v>4505000</v>
      </c>
      <c r="C18" t="s">
        <v>370</v>
      </c>
    </row>
    <row r="19" spans="1:5">
      <c r="A19" s="259">
        <v>2016</v>
      </c>
      <c r="B19" s="114">
        <v>27826000</v>
      </c>
      <c r="C19" s="33" t="s">
        <v>878</v>
      </c>
      <c r="E19" s="257" t="s">
        <v>880</v>
      </c>
    </row>
    <row r="20" spans="1:5">
      <c r="A20" s="9" t="s">
        <v>308</v>
      </c>
    </row>
    <row r="21" spans="1:5" ht="82.05" customHeight="1">
      <c r="A21" s="548" t="s">
        <v>1387</v>
      </c>
      <c r="B21" s="548"/>
      <c r="C21" s="548"/>
      <c r="D21" s="548"/>
      <c r="E21" s="548"/>
    </row>
  </sheetData>
  <mergeCells count="3">
    <mergeCell ref="A21:E21"/>
    <mergeCell ref="A8:E8"/>
    <mergeCell ref="A10:E10"/>
  </mergeCells>
  <phoneticPr fontId="16" type="noConversion"/>
  <hyperlinks>
    <hyperlink ref="C19"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showGridLines="0" view="pageLayout" topLeftCell="A38" workbookViewId="0">
      <selection activeCell="A64" sqref="A64"/>
    </sheetView>
  </sheetViews>
  <sheetFormatPr baseColWidth="10" defaultRowHeight="15.6"/>
  <cols>
    <col min="1" max="1" width="16.296875" style="36" customWidth="1"/>
    <col min="2" max="2" width="14" bestFit="1" customWidth="1"/>
  </cols>
  <sheetData>
    <row r="2" spans="1:7">
      <c r="A2" s="188" t="s">
        <v>434</v>
      </c>
    </row>
    <row r="3" spans="1:7" ht="18">
      <c r="A3" s="55" t="str">
        <f>CONCATENATE(VLOOKUP($A$2,'Table of Contents'!$B:$E,4,FALSE)," ",$A$2)</f>
        <v>3.11 VirnetX</v>
      </c>
    </row>
    <row r="4" spans="1:7">
      <c r="A4" t="str">
        <f>VLOOKUP($A$2,'Table of Contents'!$B:$E,3,FALSE)</f>
        <v>Public Corp</v>
      </c>
    </row>
    <row r="5" spans="1:7">
      <c r="A5" s="54" t="str">
        <f>VLOOKUP($A$2,'Table of Contents'!$B:$E,2,FALSE)</f>
        <v>Confirmed</v>
      </c>
    </row>
    <row r="7" spans="1:7">
      <c r="A7" s="10" t="s">
        <v>505</v>
      </c>
    </row>
    <row r="8" spans="1:7">
      <c r="A8" s="553" t="s">
        <v>646</v>
      </c>
      <c r="B8" s="553"/>
      <c r="C8" s="553"/>
      <c r="D8" s="553"/>
      <c r="E8" s="553"/>
      <c r="F8" s="553"/>
      <c r="G8" s="553"/>
    </row>
    <row r="9" spans="1:7">
      <c r="A9" s="533"/>
      <c r="B9" s="533"/>
      <c r="C9" s="533"/>
      <c r="D9" s="533"/>
      <c r="E9" s="533"/>
      <c r="F9" s="533"/>
      <c r="G9" s="533"/>
    </row>
    <row r="10" spans="1:7">
      <c r="A10" s="533"/>
      <c r="B10" s="533"/>
      <c r="C10" s="533"/>
      <c r="D10" s="533"/>
      <c r="E10" s="533"/>
      <c r="F10" s="533"/>
      <c r="G10" s="533"/>
    </row>
    <row r="11" spans="1:7">
      <c r="A11" s="533"/>
      <c r="B11" s="533"/>
      <c r="C11" s="533"/>
      <c r="D11" s="533"/>
      <c r="E11" s="533"/>
      <c r="F11" s="533"/>
      <c r="G11" s="533"/>
    </row>
    <row r="12" spans="1:7">
      <c r="A12" s="533"/>
      <c r="B12" s="533"/>
      <c r="C12" s="533"/>
      <c r="D12" s="533"/>
      <c r="E12" s="533"/>
      <c r="F12" s="533"/>
      <c r="G12" s="533"/>
    </row>
    <row r="13" spans="1:7">
      <c r="A13" s="533"/>
      <c r="B13" s="533"/>
      <c r="C13" s="533"/>
      <c r="D13" s="533"/>
      <c r="E13" s="533"/>
      <c r="F13" s="533"/>
      <c r="G13" s="533"/>
    </row>
    <row r="14" spans="1:7">
      <c r="A14" s="533"/>
      <c r="B14" s="533"/>
      <c r="C14" s="533"/>
      <c r="D14" s="533"/>
      <c r="E14" s="533"/>
      <c r="F14" s="533"/>
      <c r="G14" s="533"/>
    </row>
    <row r="15" spans="1:7">
      <c r="A15" s="533"/>
      <c r="B15" s="533"/>
      <c r="C15" s="533"/>
      <c r="D15" s="533"/>
      <c r="E15" s="533"/>
      <c r="F15" s="533"/>
      <c r="G15" s="533"/>
    </row>
    <row r="16" spans="1:7">
      <c r="A16" s="152"/>
      <c r="B16" s="152"/>
      <c r="C16" s="152"/>
      <c r="D16" s="152"/>
      <c r="E16" s="152"/>
      <c r="F16" s="152"/>
      <c r="G16" s="152"/>
    </row>
    <row r="17" spans="1:7">
      <c r="A17" s="10" t="s">
        <v>539</v>
      </c>
    </row>
    <row r="18" spans="1:7" ht="51" customHeight="1">
      <c r="A18" s="553" t="s">
        <v>647</v>
      </c>
      <c r="B18" s="553"/>
      <c r="C18" s="553"/>
      <c r="D18" s="553"/>
      <c r="E18" s="553"/>
      <c r="F18" s="553"/>
      <c r="G18" s="553"/>
    </row>
    <row r="19" spans="1:7">
      <c r="A19" s="73"/>
    </row>
    <row r="20" spans="1:7">
      <c r="A20" s="78" t="s">
        <v>0</v>
      </c>
      <c r="B20" s="74" t="s">
        <v>645</v>
      </c>
      <c r="C20" s="51" t="s">
        <v>6</v>
      </c>
    </row>
    <row r="21" spans="1:7">
      <c r="A21" s="20">
        <v>2007</v>
      </c>
      <c r="B21" s="96">
        <v>75000</v>
      </c>
      <c r="C21" t="s">
        <v>738</v>
      </c>
    </row>
    <row r="22" spans="1:7">
      <c r="A22" s="20">
        <v>2008</v>
      </c>
      <c r="B22" s="96">
        <v>134000</v>
      </c>
      <c r="C22" t="s">
        <v>738</v>
      </c>
    </row>
    <row r="23" spans="1:7">
      <c r="A23" s="20">
        <v>2009</v>
      </c>
      <c r="B23" s="96">
        <v>26000</v>
      </c>
      <c r="C23" t="s">
        <v>738</v>
      </c>
    </row>
    <row r="24" spans="1:7">
      <c r="A24" s="20">
        <v>2010</v>
      </c>
      <c r="B24" s="96">
        <v>68000</v>
      </c>
      <c r="C24" t="s">
        <v>738</v>
      </c>
    </row>
    <row r="25" spans="1:7">
      <c r="A25" s="20">
        <v>2011</v>
      </c>
      <c r="B25" s="96">
        <v>20000</v>
      </c>
      <c r="C25" t="s">
        <v>652</v>
      </c>
    </row>
    <row r="26" spans="1:7">
      <c r="A26" s="20">
        <v>2012</v>
      </c>
      <c r="B26" s="96">
        <v>412000</v>
      </c>
      <c r="C26" t="s">
        <v>652</v>
      </c>
    </row>
    <row r="27" spans="1:7">
      <c r="A27" s="20">
        <v>2013</v>
      </c>
      <c r="B27" s="96">
        <v>2197000</v>
      </c>
      <c r="C27" t="s">
        <v>652</v>
      </c>
    </row>
    <row r="28" spans="1:7">
      <c r="A28" s="20">
        <v>2014</v>
      </c>
      <c r="B28" s="96">
        <v>1249000</v>
      </c>
      <c r="C28" t="s">
        <v>652</v>
      </c>
    </row>
    <row r="29" spans="1:7">
      <c r="A29" s="20">
        <v>2015</v>
      </c>
      <c r="B29" s="96">
        <f>1.555*1000000</f>
        <v>1555000</v>
      </c>
      <c r="C29" t="s">
        <v>652</v>
      </c>
    </row>
    <row r="30" spans="1:7" s="257" customFormat="1">
      <c r="A30" s="254">
        <v>2016</v>
      </c>
      <c r="B30" s="96">
        <f>1.55*1000000</f>
        <v>1550000</v>
      </c>
      <c r="C30" s="33" t="s">
        <v>885</v>
      </c>
    </row>
    <row r="31" spans="1:7">
      <c r="A31" s="73"/>
    </row>
    <row r="32" spans="1:7">
      <c r="A32" s="10" t="s">
        <v>308</v>
      </c>
    </row>
    <row r="33" spans="1:7" ht="15" customHeight="1">
      <c r="A33" s="548" t="s">
        <v>648</v>
      </c>
      <c r="B33" s="548"/>
      <c r="C33" s="548"/>
      <c r="D33" s="548"/>
      <c r="E33" s="548"/>
      <c r="F33" s="548"/>
      <c r="G33" s="548"/>
    </row>
    <row r="34" spans="1:7" ht="82.95" customHeight="1">
      <c r="A34" s="548" t="s">
        <v>649</v>
      </c>
      <c r="B34" s="548"/>
      <c r="C34" s="548"/>
      <c r="D34" s="548"/>
      <c r="E34" s="548"/>
      <c r="F34" s="548"/>
      <c r="G34" s="548"/>
    </row>
    <row r="36" spans="1:7" ht="99" customHeight="1">
      <c r="A36" s="548" t="s">
        <v>650</v>
      </c>
      <c r="B36" s="548"/>
      <c r="C36" s="548"/>
      <c r="D36" s="548"/>
      <c r="E36" s="548"/>
      <c r="F36" s="548"/>
      <c r="G36" s="548"/>
    </row>
    <row r="38" spans="1:7">
      <c r="A38" s="10" t="s">
        <v>538</v>
      </c>
    </row>
    <row r="39" spans="1:7" ht="85.05" customHeight="1">
      <c r="A39" s="548" t="s">
        <v>651</v>
      </c>
      <c r="B39" s="548"/>
      <c r="C39" s="548"/>
      <c r="D39" s="548"/>
      <c r="E39" s="548"/>
      <c r="F39" s="548"/>
      <c r="G39" s="548"/>
    </row>
  </sheetData>
  <mergeCells count="6">
    <mergeCell ref="A8:G15"/>
    <mergeCell ref="A18:G18"/>
    <mergeCell ref="A39:G39"/>
    <mergeCell ref="A33:G33"/>
    <mergeCell ref="A34:G34"/>
    <mergeCell ref="A36:G36"/>
  </mergeCells>
  <phoneticPr fontId="16" type="noConversion"/>
  <hyperlinks>
    <hyperlink ref="C30"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9"/>
  <sheetViews>
    <sheetView showGridLines="0" view="pageLayout" workbookViewId="0">
      <selection activeCell="A22" sqref="A22:XFD22"/>
    </sheetView>
  </sheetViews>
  <sheetFormatPr baseColWidth="10" defaultRowHeight="15.6"/>
  <cols>
    <col min="1" max="1" width="21.796875" customWidth="1"/>
    <col min="2" max="2" width="13.69921875" customWidth="1"/>
    <col min="3" max="3" width="13" customWidth="1"/>
  </cols>
  <sheetData>
    <row r="2" spans="1:8">
      <c r="A2" s="143" t="s">
        <v>436</v>
      </c>
    </row>
    <row r="3" spans="1:8" ht="18">
      <c r="A3" s="53" t="str">
        <f>CONCATENATE(VLOOKUP($A$2,'Table of Contents'!$B:$E,4,FALSE)," ",$A$2)</f>
        <v>3.12 Marathon Patent Group</v>
      </c>
    </row>
    <row r="4" spans="1:8">
      <c r="A4" t="str">
        <f>VLOOKUP($A$2,'Table of Contents'!$B:$E,3,FALSE)</f>
        <v>Public Corp</v>
      </c>
    </row>
    <row r="5" spans="1:8">
      <c r="A5" s="54" t="str">
        <f>VLOOKUP($A$2,'Table of Contents'!$B:$E,2,FALSE)</f>
        <v>Approximated</v>
      </c>
    </row>
    <row r="7" spans="1:8">
      <c r="A7" s="9" t="s">
        <v>505</v>
      </c>
    </row>
    <row r="8" spans="1:8" ht="49.8" customHeight="1">
      <c r="A8" s="538" t="s">
        <v>822</v>
      </c>
      <c r="B8" s="538"/>
      <c r="C8" s="538"/>
      <c r="D8" s="538"/>
      <c r="E8" s="538"/>
      <c r="F8" s="538"/>
      <c r="G8" s="538"/>
      <c r="H8" s="538"/>
    </row>
    <row r="9" spans="1:8">
      <c r="A9" s="463"/>
      <c r="B9" s="463"/>
      <c r="C9" s="463"/>
      <c r="D9" s="463"/>
      <c r="E9" s="463"/>
      <c r="F9" s="463"/>
      <c r="G9" s="463"/>
      <c r="H9" s="463"/>
    </row>
    <row r="10" spans="1:8">
      <c r="A10" s="9" t="s">
        <v>539</v>
      </c>
    </row>
    <row r="11" spans="1:8" ht="15.45" customHeight="1">
      <c r="A11" s="464" t="s">
        <v>823</v>
      </c>
      <c r="B11" s="464"/>
      <c r="C11" s="464"/>
      <c r="D11" s="464"/>
      <c r="E11" s="464"/>
      <c r="F11" s="464"/>
      <c r="G11" s="464"/>
      <c r="H11" s="464"/>
    </row>
    <row r="13" spans="1:8">
      <c r="A13" s="9" t="s">
        <v>538</v>
      </c>
    </row>
    <row r="14" spans="1:8" ht="36" customHeight="1">
      <c r="A14" s="538" t="s">
        <v>824</v>
      </c>
      <c r="B14" s="538"/>
      <c r="C14" s="538"/>
      <c r="D14" s="538"/>
      <c r="E14" s="538"/>
      <c r="F14" s="538"/>
      <c r="G14" s="538"/>
      <c r="H14" s="538"/>
    </row>
    <row r="16" spans="1:8">
      <c r="A16" s="9" t="s">
        <v>308</v>
      </c>
    </row>
    <row r="17" spans="1:8" ht="81" customHeight="1">
      <c r="A17" s="538" t="s">
        <v>815</v>
      </c>
      <c r="B17" s="538"/>
      <c r="C17" s="538"/>
      <c r="D17" s="538"/>
      <c r="E17" s="538"/>
      <c r="F17" s="538"/>
      <c r="G17" s="538"/>
      <c r="H17" s="538"/>
    </row>
    <row r="18" spans="1:8" ht="18" customHeight="1">
      <c r="A18" s="182"/>
      <c r="B18" s="182"/>
      <c r="C18" s="182"/>
      <c r="D18" s="182"/>
      <c r="E18" s="182"/>
    </row>
    <row r="19" spans="1:8" s="181" customFormat="1" ht="49.8" customHeight="1">
      <c r="A19" s="538" t="s">
        <v>816</v>
      </c>
      <c r="B19" s="538"/>
      <c r="C19" s="538"/>
      <c r="D19" s="538"/>
      <c r="E19" s="538"/>
      <c r="F19" s="538"/>
      <c r="G19" s="538"/>
      <c r="H19" s="538"/>
    </row>
    <row r="20" spans="1:8" s="360" customFormat="1"/>
    <row r="21" spans="1:8" s="360" customFormat="1"/>
    <row r="22" spans="1:8" s="360" customFormat="1"/>
    <row r="23" spans="1:8">
      <c r="A23" t="s">
        <v>817</v>
      </c>
    </row>
    <row r="24" spans="1:8">
      <c r="A24" t="s">
        <v>818</v>
      </c>
    </row>
    <row r="27" spans="1:8">
      <c r="A27" s="66" t="s">
        <v>0</v>
      </c>
      <c r="B27" s="66" t="s">
        <v>820</v>
      </c>
      <c r="C27" s="66" t="s">
        <v>6</v>
      </c>
    </row>
    <row r="28" spans="1:8">
      <c r="A28" s="184">
        <v>2013</v>
      </c>
      <c r="B28" s="96">
        <v>3418371</v>
      </c>
      <c r="C28" s="184" t="s">
        <v>466</v>
      </c>
    </row>
    <row r="29" spans="1:8">
      <c r="A29" s="184">
        <v>2014</v>
      </c>
      <c r="B29" s="96">
        <v>21404469</v>
      </c>
      <c r="C29" s="184" t="s">
        <v>465</v>
      </c>
    </row>
    <row r="30" spans="1:8">
      <c r="A30" s="184">
        <v>2015</v>
      </c>
      <c r="B30" s="96">
        <v>18997794</v>
      </c>
      <c r="C30" s="184" t="s">
        <v>465</v>
      </c>
    </row>
    <row r="31" spans="1:8" s="257" customFormat="1">
      <c r="A31" s="259">
        <v>2016</v>
      </c>
      <c r="B31" s="96">
        <v>36629276</v>
      </c>
      <c r="C31" s="274" t="s">
        <v>909</v>
      </c>
    </row>
    <row r="32" spans="1:8">
      <c r="B32" s="1"/>
    </row>
    <row r="33" spans="1:4">
      <c r="A33" t="s">
        <v>905</v>
      </c>
    </row>
    <row r="35" spans="1:4">
      <c r="A35" s="51" t="s">
        <v>814</v>
      </c>
      <c r="B35" s="66" t="s">
        <v>819</v>
      </c>
      <c r="C35" s="66" t="s">
        <v>812</v>
      </c>
      <c r="D35" s="66" t="s">
        <v>2</v>
      </c>
    </row>
    <row r="36" spans="1:4">
      <c r="A36" t="s">
        <v>903</v>
      </c>
      <c r="B36" s="96">
        <v>24900000</v>
      </c>
      <c r="C36" s="184">
        <v>68</v>
      </c>
      <c r="D36" t="s">
        <v>908</v>
      </c>
    </row>
    <row r="37" spans="1:4">
      <c r="A37" s="257" t="s">
        <v>464</v>
      </c>
      <c r="B37" s="96">
        <v>4500000</v>
      </c>
      <c r="C37" s="184">
        <v>12</v>
      </c>
      <c r="D37" t="s">
        <v>906</v>
      </c>
    </row>
    <row r="38" spans="1:4">
      <c r="A38" t="s">
        <v>464</v>
      </c>
      <c r="B38" s="96">
        <v>3750000</v>
      </c>
      <c r="C38" s="184">
        <v>10</v>
      </c>
      <c r="D38" t="str">
        <f>D37</f>
        <v>Medical treatment of bones</v>
      </c>
    </row>
    <row r="39" spans="1:4">
      <c r="A39" t="s">
        <v>904</v>
      </c>
      <c r="B39" s="96">
        <v>1900000</v>
      </c>
      <c r="C39" s="184">
        <v>5</v>
      </c>
      <c r="D39" t="s">
        <v>907</v>
      </c>
    </row>
    <row r="40" spans="1:4">
      <c r="A40" s="257" t="s">
        <v>464</v>
      </c>
      <c r="B40" s="96">
        <v>600000</v>
      </c>
      <c r="C40" s="184">
        <v>2</v>
      </c>
      <c r="D40" t="str">
        <f>D37</f>
        <v>Medical treatment of bones</v>
      </c>
    </row>
    <row r="41" spans="1:4">
      <c r="A41" s="18" t="s">
        <v>30</v>
      </c>
      <c r="B41" s="117">
        <f>SUM(B36:B40)</f>
        <v>35650000</v>
      </c>
      <c r="C41" s="154">
        <f>SUM(C36:C40)</f>
        <v>97</v>
      </c>
    </row>
    <row r="43" spans="1:4">
      <c r="A43" t="s">
        <v>821</v>
      </c>
    </row>
    <row r="45" spans="1:4">
      <c r="A45" s="66" t="s">
        <v>0</v>
      </c>
      <c r="B45" s="66" t="s">
        <v>813</v>
      </c>
    </row>
    <row r="46" spans="1:4">
      <c r="A46" s="184">
        <v>2013</v>
      </c>
      <c r="B46" s="96">
        <v>0</v>
      </c>
    </row>
    <row r="47" spans="1:4">
      <c r="A47" s="184">
        <v>2014</v>
      </c>
      <c r="B47" s="96">
        <v>0</v>
      </c>
    </row>
    <row r="48" spans="1:4">
      <c r="A48" s="184">
        <v>2015</v>
      </c>
      <c r="B48" s="96">
        <v>0</v>
      </c>
    </row>
    <row r="49" spans="1:2">
      <c r="A49" s="259">
        <v>2016</v>
      </c>
      <c r="B49" s="96">
        <v>0</v>
      </c>
    </row>
  </sheetData>
  <sortState ref="A39:F41">
    <sortCondition ref="A39:A41"/>
  </sortState>
  <mergeCells count="4">
    <mergeCell ref="A8:H8"/>
    <mergeCell ref="A14:H14"/>
    <mergeCell ref="A17:H17"/>
    <mergeCell ref="A19:H19"/>
  </mergeCells>
  <phoneticPr fontId="16" type="noConversion"/>
  <hyperlinks>
    <hyperlink ref="C31" r:id="rId1"/>
  </hyperlinks>
  <pageMargins left="0.7" right="0.7" top="0.75" bottom="0.75" header="0.3" footer="0.3"/>
  <pageSetup orientation="landscape"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showGridLines="0" view="pageLayout" topLeftCell="A10" workbookViewId="0">
      <selection activeCell="E29" sqref="E29"/>
    </sheetView>
  </sheetViews>
  <sheetFormatPr baseColWidth="10" defaultRowHeight="15.6"/>
  <cols>
    <col min="1" max="1" width="11.296875" customWidth="1"/>
    <col min="3" max="3" width="12.69921875" customWidth="1"/>
    <col min="4" max="4" width="8.19921875" customWidth="1"/>
    <col min="5" max="5" width="14.19921875" customWidth="1"/>
  </cols>
  <sheetData>
    <row r="2" spans="1:7">
      <c r="A2" s="143" t="s">
        <v>893</v>
      </c>
    </row>
    <row r="3" spans="1:7" ht="18">
      <c r="A3" s="55" t="str">
        <f>CONCATENATE(VLOOKUP($A$2,'Table of Contents'!$B:$E,4,FALSE)," ",$A$2)</f>
        <v>3.13 IBM</v>
      </c>
    </row>
    <row r="4" spans="1:7">
      <c r="A4" s="262" t="s">
        <v>763</v>
      </c>
    </row>
    <row r="5" spans="1:7">
      <c r="A5" s="54" t="s">
        <v>604</v>
      </c>
    </row>
    <row r="6" spans="1:7">
      <c r="A6" s="260"/>
    </row>
    <row r="7" spans="1:7">
      <c r="A7" s="10" t="s">
        <v>505</v>
      </c>
    </row>
    <row r="8" spans="1:7" s="301" customFormat="1">
      <c r="A8" s="558" t="s">
        <v>1388</v>
      </c>
      <c r="B8" s="558"/>
      <c r="C8" s="558"/>
      <c r="D8" s="558"/>
      <c r="E8" s="558"/>
      <c r="F8" s="558"/>
      <c r="G8" s="558"/>
    </row>
    <row r="9" spans="1:7" s="301" customFormat="1" ht="34.049999999999997" customHeight="1">
      <c r="A9" s="558"/>
      <c r="B9" s="558"/>
      <c r="C9" s="558"/>
      <c r="D9" s="558"/>
      <c r="E9" s="558"/>
      <c r="F9" s="558"/>
      <c r="G9" s="558"/>
    </row>
    <row r="10" spans="1:7">
      <c r="A10" s="262"/>
    </row>
    <row r="11" spans="1:7">
      <c r="A11" s="556" t="s">
        <v>539</v>
      </c>
      <c r="B11" s="556"/>
    </row>
    <row r="12" spans="1:7" ht="97.95" customHeight="1">
      <c r="A12" s="558" t="s">
        <v>1027</v>
      </c>
      <c r="B12" s="558"/>
      <c r="C12" s="558"/>
      <c r="D12" s="558"/>
      <c r="E12" s="558"/>
      <c r="F12" s="558"/>
      <c r="G12" s="558"/>
    </row>
    <row r="13" spans="1:7">
      <c r="A13" s="262"/>
    </row>
    <row r="14" spans="1:7">
      <c r="A14" s="10" t="s">
        <v>538</v>
      </c>
      <c r="F14" t="s">
        <v>7</v>
      </c>
    </row>
    <row r="15" spans="1:7" s="301" customFormat="1" ht="34.049999999999997" customHeight="1">
      <c r="A15" s="558" t="s">
        <v>1022</v>
      </c>
      <c r="B15" s="558"/>
      <c r="C15" s="558"/>
      <c r="D15" s="558"/>
      <c r="E15" s="558"/>
      <c r="F15" s="558"/>
      <c r="G15" s="558"/>
    </row>
    <row r="16" spans="1:7">
      <c r="A16" s="198" t="s">
        <v>1023</v>
      </c>
      <c r="C16" s="327">
        <v>0.5</v>
      </c>
      <c r="D16" t="s">
        <v>1025</v>
      </c>
    </row>
    <row r="17" spans="1:7" s="301" customFormat="1">
      <c r="A17" s="198" t="s">
        <v>1011</v>
      </c>
      <c r="C17" s="327">
        <v>0.5</v>
      </c>
      <c r="D17" s="301" t="s">
        <v>1026</v>
      </c>
    </row>
    <row r="18" spans="1:7" s="301" customFormat="1"/>
    <row r="19" spans="1:7" ht="64.05" customHeight="1">
      <c r="A19" s="66" t="s">
        <v>0</v>
      </c>
      <c r="B19" s="66" t="s">
        <v>1009</v>
      </c>
      <c r="C19" s="75" t="s">
        <v>1010</v>
      </c>
      <c r="D19" s="80" t="s">
        <v>30</v>
      </c>
      <c r="E19" s="146" t="s">
        <v>1024</v>
      </c>
      <c r="F19" s="146" t="s">
        <v>1018</v>
      </c>
      <c r="G19" s="146"/>
    </row>
    <row r="20" spans="1:7">
      <c r="A20" s="302">
        <v>2007</v>
      </c>
      <c r="B20" s="96">
        <v>368</v>
      </c>
      <c r="C20" s="96">
        <v>138</v>
      </c>
      <c r="D20" s="97">
        <f>SUM(B20:C20)</f>
        <v>506</v>
      </c>
      <c r="E20" s="96">
        <f>D20*$C$17*$C$16</f>
        <v>126.5</v>
      </c>
      <c r="F20" s="301" t="s">
        <v>1021</v>
      </c>
    </row>
    <row r="21" spans="1:7">
      <c r="A21" s="302">
        <v>2008</v>
      </c>
      <c r="B21" s="96">
        <v>514</v>
      </c>
      <c r="C21" s="96">
        <v>138</v>
      </c>
      <c r="D21" s="97">
        <f t="shared" ref="D21:D29" si="0">SUM(B21:C21)</f>
        <v>652</v>
      </c>
      <c r="E21" s="96">
        <f t="shared" ref="E21:E29" si="1">D21*$C$17*$C$16</f>
        <v>163</v>
      </c>
      <c r="F21" t="s">
        <v>1021</v>
      </c>
    </row>
    <row r="22" spans="1:7">
      <c r="A22" s="302">
        <v>2009</v>
      </c>
      <c r="B22" s="96">
        <v>370</v>
      </c>
      <c r="C22" s="96">
        <v>228</v>
      </c>
      <c r="D22" s="97">
        <f t="shared" si="0"/>
        <v>598</v>
      </c>
      <c r="E22" s="96">
        <f t="shared" si="1"/>
        <v>149.5</v>
      </c>
      <c r="F22" s="33" t="s">
        <v>1020</v>
      </c>
    </row>
    <row r="23" spans="1:7">
      <c r="A23" s="302">
        <v>2010</v>
      </c>
      <c r="B23" s="96">
        <v>312</v>
      </c>
      <c r="C23" s="96">
        <v>203</v>
      </c>
      <c r="D23" s="97">
        <f t="shared" si="0"/>
        <v>515</v>
      </c>
      <c r="E23" s="96">
        <f t="shared" si="1"/>
        <v>128.75</v>
      </c>
      <c r="F23" s="33" t="s">
        <v>1019</v>
      </c>
    </row>
    <row r="24" spans="1:7">
      <c r="A24" s="302">
        <v>2011</v>
      </c>
      <c r="B24" s="96">
        <v>211</v>
      </c>
      <c r="C24" s="96">
        <v>309</v>
      </c>
      <c r="D24" s="97">
        <f t="shared" si="0"/>
        <v>520</v>
      </c>
      <c r="E24" s="96">
        <f t="shared" si="1"/>
        <v>130</v>
      </c>
      <c r="F24" s="33" t="s">
        <v>1016</v>
      </c>
    </row>
    <row r="25" spans="1:7">
      <c r="A25" s="302">
        <v>2012</v>
      </c>
      <c r="B25" s="96">
        <v>251</v>
      </c>
      <c r="C25" s="96">
        <v>324</v>
      </c>
      <c r="D25" s="97">
        <f t="shared" si="0"/>
        <v>575</v>
      </c>
      <c r="E25" s="96">
        <f t="shared" si="1"/>
        <v>143.75</v>
      </c>
      <c r="F25" s="33" t="s">
        <v>1015</v>
      </c>
    </row>
    <row r="26" spans="1:7">
      <c r="A26" s="302">
        <v>2013</v>
      </c>
      <c r="B26" s="96">
        <v>150</v>
      </c>
      <c r="C26" s="96">
        <v>352</v>
      </c>
      <c r="D26" s="97">
        <f t="shared" si="0"/>
        <v>502</v>
      </c>
      <c r="E26" s="96">
        <f t="shared" si="1"/>
        <v>125.5</v>
      </c>
      <c r="F26" s="33" t="s">
        <v>1014</v>
      </c>
    </row>
    <row r="27" spans="1:7">
      <c r="A27" s="302">
        <v>2014</v>
      </c>
      <c r="B27" s="96">
        <v>129</v>
      </c>
      <c r="C27" s="96">
        <v>283</v>
      </c>
      <c r="D27" s="97">
        <f t="shared" si="0"/>
        <v>412</v>
      </c>
      <c r="E27" s="96">
        <f t="shared" si="1"/>
        <v>103</v>
      </c>
      <c r="F27" s="33" t="s">
        <v>1012</v>
      </c>
    </row>
    <row r="28" spans="1:7">
      <c r="A28" s="302">
        <v>2015</v>
      </c>
      <c r="B28" s="96">
        <v>407</v>
      </c>
      <c r="C28" s="96">
        <v>13</v>
      </c>
      <c r="D28" s="97">
        <f t="shared" si="0"/>
        <v>420</v>
      </c>
      <c r="E28" s="96">
        <f t="shared" si="1"/>
        <v>105</v>
      </c>
      <c r="F28" s="33" t="s">
        <v>1013</v>
      </c>
    </row>
    <row r="29" spans="1:7">
      <c r="A29" s="302">
        <v>2016</v>
      </c>
      <c r="B29" s="96">
        <v>1390</v>
      </c>
      <c r="C29" s="96">
        <v>27</v>
      </c>
      <c r="D29" s="97">
        <f t="shared" si="0"/>
        <v>1417</v>
      </c>
      <c r="E29" s="96">
        <f t="shared" si="1"/>
        <v>354.25</v>
      </c>
      <c r="F29" s="33" t="s">
        <v>1013</v>
      </c>
    </row>
    <row r="31" spans="1:7">
      <c r="A31" t="s">
        <v>1017</v>
      </c>
    </row>
  </sheetData>
  <mergeCells count="4">
    <mergeCell ref="A8:G9"/>
    <mergeCell ref="A12:G12"/>
    <mergeCell ref="A15:G15"/>
    <mergeCell ref="A11:B11"/>
  </mergeCells>
  <phoneticPr fontId="16" type="noConversion"/>
  <hyperlinks>
    <hyperlink ref="F27" r:id="rId1"/>
    <hyperlink ref="F29" r:id="rId2"/>
    <hyperlink ref="F28" r:id="rId3"/>
    <hyperlink ref="F26" r:id="rId4"/>
    <hyperlink ref="F25" r:id="rId5"/>
    <hyperlink ref="F24" r:id="rId6"/>
    <hyperlink ref="F23" r:id="rId7"/>
    <hyperlink ref="F22" r:id="rId8"/>
  </hyperlinks>
  <pageMargins left="0.7" right="0.7" top="0.75" bottom="0.75" header="0.3" footer="0.3"/>
  <pageSetup orientation="portrait" horizontalDpi="0" verticalDpi="0" r:id="rId9"/>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Layout" workbookViewId="0">
      <selection activeCell="D2" sqref="D2"/>
    </sheetView>
  </sheetViews>
  <sheetFormatPr baseColWidth="10" defaultRowHeight="15.6"/>
  <cols>
    <col min="1" max="1" width="14.19921875" customWidth="1"/>
    <col min="5" max="5" width="11.796875" customWidth="1"/>
  </cols>
  <sheetData>
    <row r="1" spans="1:7">
      <c r="A1" s="143" t="s">
        <v>894</v>
      </c>
    </row>
    <row r="2" spans="1:7" ht="18">
      <c r="A2" s="55" t="str">
        <f>CONCATENATE(VLOOKUP($A$1,'Table of Contents'!$B:$E,4,FALSE)," ",$A$1)</f>
        <v>3.14 Tivo</v>
      </c>
    </row>
    <row r="3" spans="1:7">
      <c r="A3" s="319" t="s">
        <v>763</v>
      </c>
    </row>
    <row r="4" spans="1:7">
      <c r="A4" s="54" t="s">
        <v>604</v>
      </c>
    </row>
    <row r="5" spans="1:7">
      <c r="A5" s="260"/>
    </row>
    <row r="6" spans="1:7">
      <c r="A6" s="10" t="s">
        <v>505</v>
      </c>
      <c r="B6" s="319"/>
      <c r="C6" s="319"/>
      <c r="D6" s="319"/>
      <c r="E6" s="319"/>
      <c r="F6" s="319"/>
      <c r="G6" s="319"/>
    </row>
    <row r="7" spans="1:7">
      <c r="A7" s="558" t="s">
        <v>1030</v>
      </c>
      <c r="B7" s="558"/>
      <c r="C7" s="558"/>
      <c r="D7" s="558"/>
      <c r="E7" s="558"/>
      <c r="F7" s="558"/>
      <c r="G7" s="558"/>
    </row>
    <row r="8" spans="1:7" ht="52.05" customHeight="1">
      <c r="A8" s="558"/>
      <c r="B8" s="558"/>
      <c r="C8" s="558"/>
      <c r="D8" s="558"/>
      <c r="E8" s="558"/>
      <c r="F8" s="558"/>
      <c r="G8" s="558"/>
    </row>
    <row r="9" spans="1:7">
      <c r="A9" s="319"/>
      <c r="B9" s="319"/>
      <c r="C9" s="319"/>
      <c r="D9" s="319"/>
      <c r="E9" s="319"/>
      <c r="F9" s="319"/>
      <c r="G9" s="319"/>
    </row>
    <row r="10" spans="1:7">
      <c r="A10" s="556" t="s">
        <v>539</v>
      </c>
      <c r="B10" s="556"/>
      <c r="C10" s="319"/>
      <c r="D10" s="319"/>
      <c r="E10" s="319"/>
      <c r="F10" s="319"/>
      <c r="G10" s="319"/>
    </row>
    <row r="11" spans="1:7" ht="96" customHeight="1">
      <c r="A11" s="558" t="s">
        <v>1516</v>
      </c>
      <c r="B11" s="558"/>
      <c r="C11" s="558"/>
      <c r="D11" s="558"/>
      <c r="E11" s="558"/>
      <c r="F11" s="558"/>
      <c r="G11" s="558"/>
    </row>
    <row r="12" spans="1:7">
      <c r="A12" s="319"/>
      <c r="B12" s="319"/>
      <c r="C12" s="319"/>
      <c r="D12" s="319"/>
      <c r="E12" s="319"/>
      <c r="F12" s="319"/>
      <c r="G12" s="319"/>
    </row>
    <row r="13" spans="1:7">
      <c r="A13" s="10" t="s">
        <v>538</v>
      </c>
      <c r="B13" s="319"/>
      <c r="C13" s="319"/>
      <c r="D13" s="319"/>
      <c r="E13" s="319"/>
      <c r="F13" s="319" t="s">
        <v>7</v>
      </c>
      <c r="G13" s="319"/>
    </row>
    <row r="14" spans="1:7" ht="36.450000000000003" customHeight="1">
      <c r="A14" s="558" t="s">
        <v>1038</v>
      </c>
      <c r="B14" s="558"/>
      <c r="C14" s="558"/>
      <c r="D14" s="558"/>
      <c r="E14" s="558"/>
      <c r="F14" s="558"/>
      <c r="G14" s="558"/>
    </row>
    <row r="15" spans="1:7">
      <c r="A15" s="198" t="s">
        <v>1023</v>
      </c>
      <c r="B15" s="319"/>
      <c r="C15" s="327">
        <v>1</v>
      </c>
      <c r="D15" s="319" t="s">
        <v>1025</v>
      </c>
      <c r="E15" s="319"/>
      <c r="F15" s="319"/>
      <c r="G15" s="319"/>
    </row>
    <row r="16" spans="1:7">
      <c r="A16" s="198" t="s">
        <v>1234</v>
      </c>
      <c r="B16" s="319"/>
      <c r="D16" s="319" t="s">
        <v>1026</v>
      </c>
      <c r="E16" s="319"/>
      <c r="F16" s="319"/>
      <c r="G16" s="319"/>
    </row>
    <row r="17" spans="1:7">
      <c r="A17" s="319"/>
      <c r="B17" s="319"/>
      <c r="C17" s="319"/>
      <c r="D17" s="319"/>
      <c r="E17" s="319"/>
      <c r="F17" s="319"/>
      <c r="G17" s="319"/>
    </row>
    <row r="18" spans="1:7" ht="78">
      <c r="A18" s="66" t="s">
        <v>0</v>
      </c>
      <c r="B18" s="75" t="s">
        <v>403</v>
      </c>
      <c r="C18" s="75" t="s">
        <v>1029</v>
      </c>
      <c r="D18" s="80" t="s">
        <v>30</v>
      </c>
      <c r="E18" s="146" t="s">
        <v>1035</v>
      </c>
      <c r="F18" s="146" t="s">
        <v>1018</v>
      </c>
      <c r="G18" s="75" t="s">
        <v>1234</v>
      </c>
    </row>
    <row r="19" spans="1:7">
      <c r="A19" s="332">
        <v>2007</v>
      </c>
      <c r="B19" s="96"/>
      <c r="C19" s="96"/>
      <c r="D19" s="97">
        <f>SUM(B19:C19)</f>
        <v>0</v>
      </c>
      <c r="E19" s="96">
        <f t="shared" ref="E19:E24" si="0">D19*$G$25*$C$15</f>
        <v>0</v>
      </c>
      <c r="F19" s="319"/>
    </row>
    <row r="20" spans="1:7">
      <c r="A20" s="332">
        <v>2008</v>
      </c>
      <c r="B20" s="96"/>
      <c r="C20" s="96"/>
      <c r="D20" s="97">
        <f t="shared" ref="D20:D28" si="1">SUM(B20:C20)</f>
        <v>0</v>
      </c>
      <c r="E20" s="96">
        <f t="shared" si="0"/>
        <v>0</v>
      </c>
      <c r="F20" s="319"/>
      <c r="G20" s="319"/>
    </row>
    <row r="21" spans="1:7">
      <c r="A21" s="332">
        <v>2009</v>
      </c>
      <c r="B21" s="96"/>
      <c r="C21" s="96"/>
      <c r="D21" s="97">
        <f t="shared" si="1"/>
        <v>0</v>
      </c>
      <c r="E21" s="96">
        <f t="shared" si="0"/>
        <v>0</v>
      </c>
      <c r="F21" s="319"/>
      <c r="G21" s="319"/>
    </row>
    <row r="22" spans="1:7">
      <c r="A22" s="332">
        <v>2010</v>
      </c>
      <c r="B22" s="96"/>
      <c r="C22" s="96"/>
      <c r="D22" s="97">
        <f t="shared" si="1"/>
        <v>0</v>
      </c>
      <c r="E22" s="96">
        <f t="shared" si="0"/>
        <v>0</v>
      </c>
      <c r="F22" s="319"/>
      <c r="G22" s="319"/>
    </row>
    <row r="23" spans="1:7">
      <c r="A23" s="332">
        <v>2011</v>
      </c>
      <c r="B23" s="96"/>
      <c r="C23" s="96"/>
      <c r="D23" s="97">
        <f t="shared" si="1"/>
        <v>0</v>
      </c>
      <c r="E23" s="96">
        <f t="shared" si="0"/>
        <v>0</v>
      </c>
      <c r="F23" s="319"/>
      <c r="G23" s="319"/>
    </row>
    <row r="24" spans="1:7">
      <c r="A24" s="332">
        <v>2012</v>
      </c>
      <c r="B24" s="96"/>
      <c r="C24" s="96"/>
      <c r="D24" s="97">
        <f t="shared" si="1"/>
        <v>0</v>
      </c>
      <c r="E24" s="96">
        <f t="shared" si="0"/>
        <v>0</v>
      </c>
      <c r="F24" s="319"/>
      <c r="G24" s="319"/>
    </row>
    <row r="25" spans="1:7">
      <c r="A25" s="320">
        <v>2013</v>
      </c>
      <c r="B25" s="96">
        <v>98.885999999999996</v>
      </c>
      <c r="C25" s="96">
        <v>194.32400000000001</v>
      </c>
      <c r="D25" s="97">
        <f t="shared" si="1"/>
        <v>293.21000000000004</v>
      </c>
      <c r="E25" s="96">
        <f>B25*$G25*$C$15</f>
        <v>0</v>
      </c>
      <c r="F25" s="319" t="s">
        <v>1034</v>
      </c>
      <c r="G25" s="327">
        <v>0</v>
      </c>
    </row>
    <row r="26" spans="1:7">
      <c r="A26" s="320">
        <v>2014</v>
      </c>
      <c r="B26" s="96">
        <v>84.358999999999995</v>
      </c>
      <c r="C26" s="96">
        <v>200.79900000000001</v>
      </c>
      <c r="D26" s="97">
        <f t="shared" si="1"/>
        <v>285.15800000000002</v>
      </c>
      <c r="E26" s="96">
        <f t="shared" ref="E26:E28" si="2">B26*$G26*$C$15</f>
        <v>0.84358999999999995</v>
      </c>
      <c r="F26" s="319" t="s">
        <v>1033</v>
      </c>
      <c r="G26" s="327">
        <v>0.01</v>
      </c>
    </row>
    <row r="27" spans="1:7">
      <c r="A27" s="320">
        <v>2015</v>
      </c>
      <c r="B27" s="96">
        <v>67.045000000000002</v>
      </c>
      <c r="C27" s="96">
        <v>216.77699999999999</v>
      </c>
      <c r="D27" s="97">
        <f t="shared" si="1"/>
        <v>283.822</v>
      </c>
      <c r="E27" s="96">
        <f t="shared" si="2"/>
        <v>1.3409</v>
      </c>
      <c r="F27" s="319" t="s">
        <v>1031</v>
      </c>
      <c r="G27" s="327">
        <v>0.02</v>
      </c>
    </row>
    <row r="28" spans="1:7">
      <c r="A28" s="320">
        <v>2016</v>
      </c>
      <c r="B28" s="96">
        <v>79.338999999999999</v>
      </c>
      <c r="C28" s="96">
        <v>268.07799999999997</v>
      </c>
      <c r="D28" s="97">
        <f t="shared" si="1"/>
        <v>347.41699999999997</v>
      </c>
      <c r="E28" s="96">
        <f t="shared" si="2"/>
        <v>3.9669500000000002</v>
      </c>
      <c r="F28" s="319" t="s">
        <v>1031</v>
      </c>
      <c r="G28" s="327">
        <v>0.05</v>
      </c>
    </row>
    <row r="29" spans="1:7">
      <c r="A29" s="319"/>
      <c r="B29" s="319"/>
      <c r="C29" s="319"/>
      <c r="D29" s="319"/>
      <c r="E29" s="319"/>
      <c r="F29" s="319"/>
      <c r="G29" s="319"/>
    </row>
    <row r="30" spans="1:7">
      <c r="A30" s="319" t="s">
        <v>1032</v>
      </c>
      <c r="B30" s="319"/>
      <c r="C30" s="319"/>
      <c r="D30" s="319"/>
      <c r="E30" s="319"/>
      <c r="F30" s="319"/>
      <c r="G30" s="319"/>
    </row>
  </sheetData>
  <mergeCells count="4">
    <mergeCell ref="A7:G8"/>
    <mergeCell ref="A10:B10"/>
    <mergeCell ref="A11:G11"/>
    <mergeCell ref="A14:G14"/>
  </mergeCells>
  <phoneticPr fontId="16" type="noConversion"/>
  <pageMargins left="0.7" right="0.7" top="0.75" bottom="0.75" header="0.3" footer="0.3"/>
  <pageSetup orientation="portrait" horizontalDpi="0" verticalDpi="0" r:id="rId1"/>
  <headerFooter>
    <oddHeader>&amp;LA New Dataset on Mobile Phone 
Patent License Royalties&amp;C&amp;"-,Negrita"&amp;A&amp;RAugust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5"/>
  <sheetViews>
    <sheetView showGridLines="0" view="pageLayout" topLeftCell="A9" zoomScale="109" zoomScalePageLayoutView="109" workbookViewId="0">
      <selection activeCell="F21" sqref="F21"/>
    </sheetView>
  </sheetViews>
  <sheetFormatPr baseColWidth="10" defaultColWidth="10.796875" defaultRowHeight="15.6"/>
  <cols>
    <col min="1" max="1" width="18.19921875" style="262" customWidth="1"/>
    <col min="2" max="4" width="10.796875" style="262"/>
    <col min="5" max="5" width="12.796875" style="262" customWidth="1"/>
    <col min="6" max="6" width="10.796875" style="262" customWidth="1"/>
    <col min="7" max="7" width="10.796875" style="262"/>
    <col min="8" max="8" width="5" style="331" customWidth="1"/>
    <col min="9" max="9" width="10.69921875" style="262" customWidth="1"/>
    <col min="10" max="16384" width="10.796875" style="262"/>
  </cols>
  <sheetData>
    <row r="2" spans="1:10">
      <c r="A2" s="143" t="s">
        <v>892</v>
      </c>
    </row>
    <row r="3" spans="1:10" ht="18">
      <c r="A3" s="55" t="str">
        <f>CONCATENATE(VLOOKUP($A$2,'Table of Contents'!$B:$E,4,FALSE)," ",$A$2)</f>
        <v>3.15 Technicolor</v>
      </c>
    </row>
    <row r="4" spans="1:10">
      <c r="A4" s="319" t="s">
        <v>763</v>
      </c>
    </row>
    <row r="5" spans="1:10">
      <c r="A5" s="54" t="s">
        <v>604</v>
      </c>
    </row>
    <row r="6" spans="1:10">
      <c r="A6" s="260"/>
    </row>
    <row r="7" spans="1:10">
      <c r="A7" s="10" t="s">
        <v>505</v>
      </c>
      <c r="B7" s="319"/>
      <c r="C7" s="319"/>
      <c r="D7" s="319"/>
      <c r="E7" s="319"/>
      <c r="F7" s="319"/>
      <c r="G7" s="319"/>
    </row>
    <row r="8" spans="1:10" ht="46.8" customHeight="1">
      <c r="A8" s="558" t="s">
        <v>1042</v>
      </c>
      <c r="B8" s="558"/>
      <c r="C8" s="558"/>
      <c r="D8" s="558"/>
      <c r="E8" s="558"/>
      <c r="F8" s="558"/>
      <c r="G8" s="558"/>
      <c r="H8" s="558"/>
      <c r="I8" s="558"/>
      <c r="J8" s="558"/>
    </row>
    <row r="9" spans="1:10">
      <c r="A9" s="319"/>
      <c r="B9" s="319"/>
      <c r="C9" s="319"/>
      <c r="D9" s="319"/>
      <c r="E9" s="319"/>
      <c r="F9" s="319"/>
      <c r="G9" s="319"/>
    </row>
    <row r="10" spans="1:10">
      <c r="A10" s="556" t="s">
        <v>539</v>
      </c>
      <c r="B10" s="556"/>
      <c r="C10" s="319"/>
      <c r="D10" s="319"/>
      <c r="E10" s="319"/>
      <c r="F10" s="319"/>
      <c r="G10" s="319"/>
    </row>
    <row r="11" spans="1:10" ht="66.45" customHeight="1">
      <c r="A11" s="558" t="s">
        <v>1043</v>
      </c>
      <c r="B11" s="558"/>
      <c r="C11" s="558"/>
      <c r="D11" s="558"/>
      <c r="E11" s="558"/>
      <c r="F11" s="558"/>
      <c r="G11" s="558"/>
      <c r="H11" s="558"/>
      <c r="I11" s="558"/>
      <c r="J11" s="558"/>
    </row>
    <row r="12" spans="1:10">
      <c r="A12" s="319"/>
      <c r="B12" s="319"/>
      <c r="C12" s="319"/>
      <c r="D12" s="319"/>
      <c r="E12" s="319"/>
      <c r="F12" s="319"/>
      <c r="G12" s="319"/>
    </row>
    <row r="13" spans="1:10">
      <c r="A13" s="10" t="s">
        <v>538</v>
      </c>
      <c r="B13" s="319"/>
      <c r="C13" s="319"/>
      <c r="D13" s="319"/>
      <c r="E13" s="319"/>
      <c r="F13" s="319" t="s">
        <v>7</v>
      </c>
      <c r="G13" s="319"/>
    </row>
    <row r="14" spans="1:10" ht="19.2" customHeight="1">
      <c r="A14" s="558" t="s">
        <v>1037</v>
      </c>
      <c r="B14" s="558"/>
      <c r="C14" s="558"/>
      <c r="D14" s="558"/>
      <c r="E14" s="558"/>
      <c r="F14" s="558"/>
      <c r="G14" s="558"/>
      <c r="H14" s="558"/>
      <c r="I14" s="558"/>
      <c r="J14" s="558"/>
    </row>
    <row r="15" spans="1:10">
      <c r="A15" s="465" t="s">
        <v>1023</v>
      </c>
      <c r="B15" s="327">
        <v>1</v>
      </c>
      <c r="D15" s="319" t="s">
        <v>1229</v>
      </c>
      <c r="E15" s="319"/>
      <c r="F15" s="319"/>
      <c r="G15" s="319"/>
    </row>
    <row r="16" spans="1:10">
      <c r="A16" s="465" t="s">
        <v>1011</v>
      </c>
      <c r="B16" s="319"/>
      <c r="D16" s="319" t="s">
        <v>1026</v>
      </c>
      <c r="E16" s="319"/>
      <c r="F16" s="319"/>
      <c r="G16" s="319"/>
    </row>
    <row r="17" spans="1:10" s="360" customFormat="1">
      <c r="A17" s="198"/>
    </row>
    <row r="18" spans="1:10" s="360" customFormat="1">
      <c r="A18" s="198"/>
    </row>
    <row r="19" spans="1:10" s="360" customFormat="1">
      <c r="A19" s="198"/>
    </row>
    <row r="20" spans="1:10" s="360" customFormat="1">
      <c r="A20" s="198"/>
    </row>
    <row r="21" spans="1:10" s="360" customFormat="1">
      <c r="A21" s="198"/>
    </row>
    <row r="22" spans="1:10" s="360" customFormat="1">
      <c r="A22" s="198"/>
    </row>
    <row r="23" spans="1:10" s="360" customFormat="1">
      <c r="A23" s="198"/>
    </row>
    <row r="24" spans="1:10" s="360" customFormat="1">
      <c r="A24" s="198"/>
    </row>
    <row r="25" spans="1:10" s="360" customFormat="1">
      <c r="A25" s="198"/>
    </row>
    <row r="26" spans="1:10" s="360" customFormat="1">
      <c r="A26" s="198"/>
    </row>
    <row r="27" spans="1:10" s="360" customFormat="1">
      <c r="A27" s="198"/>
    </row>
    <row r="28" spans="1:10">
      <c r="A28" s="319"/>
      <c r="B28" s="319"/>
      <c r="C28" s="319"/>
      <c r="D28" s="319"/>
      <c r="E28" s="319"/>
      <c r="F28" s="319"/>
      <c r="G28" s="319"/>
    </row>
    <row r="29" spans="1:10" ht="62.4">
      <c r="A29" s="66" t="s">
        <v>0</v>
      </c>
      <c r="B29" s="75" t="s">
        <v>1028</v>
      </c>
      <c r="C29" s="146" t="s">
        <v>1227</v>
      </c>
      <c r="D29" s="80" t="s">
        <v>30</v>
      </c>
      <c r="E29" s="146" t="s">
        <v>1024</v>
      </c>
      <c r="F29" s="75" t="s">
        <v>1011</v>
      </c>
      <c r="I29" s="146" t="s">
        <v>765</v>
      </c>
      <c r="J29" s="146"/>
    </row>
    <row r="30" spans="1:10">
      <c r="A30" s="320">
        <v>2007</v>
      </c>
      <c r="B30" s="341">
        <v>568</v>
      </c>
      <c r="C30" s="339">
        <v>0.73078500000000002</v>
      </c>
      <c r="D30" s="97">
        <f t="shared" ref="D30:D39" si="0">B30*C30</f>
        <v>415.08588000000003</v>
      </c>
      <c r="E30" s="96">
        <f t="shared" ref="E30:E39" si="1">D30*$F30*$B$15</f>
        <v>0</v>
      </c>
      <c r="F30" s="327">
        <v>0</v>
      </c>
      <c r="I30" s="95">
        <f>0.3*D30</f>
        <v>124.52576400000001</v>
      </c>
    </row>
    <row r="31" spans="1:10">
      <c r="A31" s="320">
        <v>2008</v>
      </c>
      <c r="B31" s="341">
        <v>392</v>
      </c>
      <c r="C31" s="339">
        <v>0.68307499999999999</v>
      </c>
      <c r="D31" s="97">
        <f t="shared" si="0"/>
        <v>267.7654</v>
      </c>
      <c r="E31" s="96">
        <f t="shared" si="1"/>
        <v>0</v>
      </c>
      <c r="F31" s="327">
        <v>0</v>
      </c>
      <c r="I31" s="95"/>
    </row>
    <row r="32" spans="1:10">
      <c r="A32" s="320">
        <v>2009</v>
      </c>
      <c r="B32" s="340">
        <v>391</v>
      </c>
      <c r="C32" s="339">
        <v>0.71903899999999998</v>
      </c>
      <c r="D32" s="97">
        <f t="shared" si="0"/>
        <v>281.144249</v>
      </c>
      <c r="E32" s="96">
        <f t="shared" si="1"/>
        <v>0</v>
      </c>
      <c r="F32" s="327">
        <v>0</v>
      </c>
      <c r="I32" s="95"/>
    </row>
    <row r="33" spans="1:9">
      <c r="A33" s="320">
        <v>2010</v>
      </c>
      <c r="B33" s="340">
        <v>450</v>
      </c>
      <c r="C33" s="339">
        <v>0.75490800000000002</v>
      </c>
      <c r="D33" s="97">
        <f t="shared" si="0"/>
        <v>339.70859999999999</v>
      </c>
      <c r="E33" s="96">
        <f t="shared" si="1"/>
        <v>0</v>
      </c>
      <c r="F33" s="327">
        <v>0</v>
      </c>
      <c r="I33" s="95"/>
    </row>
    <row r="34" spans="1:9">
      <c r="A34" s="320">
        <v>2011</v>
      </c>
      <c r="B34" s="340">
        <v>456</v>
      </c>
      <c r="C34" s="339">
        <v>0.71883600000000003</v>
      </c>
      <c r="D34" s="97">
        <f t="shared" si="0"/>
        <v>327.78921600000001</v>
      </c>
      <c r="E34" s="96">
        <f t="shared" si="1"/>
        <v>3.2778921600000004</v>
      </c>
      <c r="F34" s="327">
        <v>0.01</v>
      </c>
      <c r="I34" s="342"/>
    </row>
    <row r="35" spans="1:9">
      <c r="A35" s="320">
        <v>2012</v>
      </c>
      <c r="B35" s="341">
        <v>515</v>
      </c>
      <c r="C35" s="339">
        <v>0.77829599999999999</v>
      </c>
      <c r="D35" s="97">
        <f t="shared" si="0"/>
        <v>400.82243999999997</v>
      </c>
      <c r="E35" s="96">
        <f t="shared" si="1"/>
        <v>20.041122000000001</v>
      </c>
      <c r="F35" s="327">
        <v>0.05</v>
      </c>
      <c r="I35" s="342"/>
    </row>
    <row r="36" spans="1:9">
      <c r="A36" s="320">
        <v>2013</v>
      </c>
      <c r="B36" s="341">
        <v>485</v>
      </c>
      <c r="C36" s="339">
        <v>0.75304499999999996</v>
      </c>
      <c r="D36" s="97">
        <f t="shared" si="0"/>
        <v>365.22682499999996</v>
      </c>
      <c r="E36" s="96">
        <f t="shared" si="1"/>
        <v>36.522682499999995</v>
      </c>
      <c r="F36" s="327">
        <v>0.1</v>
      </c>
      <c r="I36" s="95">
        <f>0.53*D36</f>
        <v>193.57021724999998</v>
      </c>
    </row>
    <row r="37" spans="1:9">
      <c r="A37" s="320">
        <v>2014</v>
      </c>
      <c r="B37" s="340">
        <v>490</v>
      </c>
      <c r="C37" s="339">
        <v>0.75360199999999999</v>
      </c>
      <c r="D37" s="97">
        <f t="shared" si="0"/>
        <v>369.26497999999998</v>
      </c>
      <c r="E37" s="96">
        <f t="shared" si="1"/>
        <v>55.389746999999993</v>
      </c>
      <c r="F37" s="327">
        <v>0.15</v>
      </c>
      <c r="I37" s="95">
        <f>0.45*D37</f>
        <v>166.169241</v>
      </c>
    </row>
    <row r="38" spans="1:9">
      <c r="A38" s="320">
        <v>2015</v>
      </c>
      <c r="B38" s="340">
        <v>490</v>
      </c>
      <c r="C38" s="339">
        <v>0.90169900000000003</v>
      </c>
      <c r="D38" s="97">
        <f t="shared" si="0"/>
        <v>441.83251000000001</v>
      </c>
      <c r="E38" s="96">
        <f t="shared" si="1"/>
        <v>88.366502000000011</v>
      </c>
      <c r="F38" s="327">
        <v>0.2</v>
      </c>
      <c r="I38" s="95">
        <f>D38*0.59</f>
        <v>260.68118090000002</v>
      </c>
    </row>
    <row r="39" spans="1:9">
      <c r="A39" s="320">
        <v>2016</v>
      </c>
      <c r="B39" s="341">
        <v>285</v>
      </c>
      <c r="C39" s="339">
        <v>0.90417899999999995</v>
      </c>
      <c r="D39" s="97">
        <f t="shared" si="0"/>
        <v>257.69101499999999</v>
      </c>
      <c r="E39" s="96">
        <f t="shared" si="1"/>
        <v>64.422753749999998</v>
      </c>
      <c r="F39" s="327">
        <v>0.25</v>
      </c>
      <c r="I39" s="95">
        <f>60*C39</f>
        <v>54.25074</v>
      </c>
    </row>
    <row r="40" spans="1:9">
      <c r="A40" s="319"/>
      <c r="B40" s="331"/>
      <c r="C40" s="319"/>
      <c r="D40" s="319"/>
      <c r="E40" s="319"/>
      <c r="F40" s="319"/>
      <c r="G40" s="319"/>
    </row>
    <row r="41" spans="1:9">
      <c r="A41" s="470" t="s">
        <v>1018</v>
      </c>
      <c r="B41" s="319"/>
      <c r="C41" s="319"/>
      <c r="D41" s="319"/>
      <c r="E41" s="319"/>
      <c r="F41" s="319"/>
      <c r="G41" s="319"/>
    </row>
    <row r="42" spans="1:9" s="360" customFormat="1">
      <c r="A42" s="470"/>
    </row>
    <row r="43" spans="1:9">
      <c r="A43" s="470">
        <v>2007</v>
      </c>
      <c r="B43" s="116" t="s">
        <v>1492</v>
      </c>
    </row>
    <row r="44" spans="1:9">
      <c r="A44" s="470">
        <v>2008</v>
      </c>
      <c r="B44" s="116" t="s">
        <v>1491</v>
      </c>
    </row>
    <row r="45" spans="1:9">
      <c r="A45" s="470">
        <v>2009</v>
      </c>
      <c r="B45" s="116" t="s">
        <v>1491</v>
      </c>
    </row>
    <row r="46" spans="1:9">
      <c r="A46" s="470">
        <v>2010</v>
      </c>
      <c r="B46" s="116" t="s">
        <v>1493</v>
      </c>
    </row>
    <row r="47" spans="1:9">
      <c r="A47" s="470">
        <v>2011</v>
      </c>
      <c r="B47" s="116" t="s">
        <v>1497</v>
      </c>
    </row>
    <row r="48" spans="1:9">
      <c r="A48" s="470">
        <v>2012</v>
      </c>
      <c r="B48" s="116" t="s">
        <v>1498</v>
      </c>
    </row>
    <row r="49" spans="1:2">
      <c r="A49" s="470">
        <v>2013</v>
      </c>
      <c r="B49" s="116" t="s">
        <v>1498</v>
      </c>
    </row>
    <row r="50" spans="1:2">
      <c r="A50" s="470">
        <v>2014</v>
      </c>
      <c r="B50" s="116" t="s">
        <v>1494</v>
      </c>
    </row>
    <row r="51" spans="1:2">
      <c r="A51" s="470">
        <v>2015</v>
      </c>
      <c r="B51" s="116" t="s">
        <v>1495</v>
      </c>
    </row>
    <row r="52" spans="1:2">
      <c r="A52" s="470">
        <v>2016</v>
      </c>
      <c r="B52" s="116" t="s">
        <v>1496</v>
      </c>
    </row>
    <row r="54" spans="1:2">
      <c r="A54" s="360" t="s">
        <v>1228</v>
      </c>
    </row>
    <row r="55" spans="1:2">
      <c r="A55" s="360"/>
    </row>
  </sheetData>
  <mergeCells count="4">
    <mergeCell ref="A10:B10"/>
    <mergeCell ref="A8:J8"/>
    <mergeCell ref="A11:J11"/>
    <mergeCell ref="A14:J14"/>
  </mergeCells>
  <phoneticPr fontId="16" type="noConversion"/>
  <pageMargins left="0.7" right="0.7" top="0.75" bottom="0.75" header="0.3" footer="0.3"/>
  <pageSetup orientation="landscape" horizontalDpi="0" verticalDpi="0"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3:E80"/>
  <sheetViews>
    <sheetView showGridLines="0" view="pageLayout" topLeftCell="A19" zoomScale="113" zoomScalePageLayoutView="113" workbookViewId="0">
      <selection activeCell="A28" sqref="A28"/>
    </sheetView>
  </sheetViews>
  <sheetFormatPr baseColWidth="10" defaultRowHeight="15.6"/>
  <cols>
    <col min="2" max="2" width="22.796875" bestFit="1" customWidth="1"/>
    <col min="3" max="3" width="15" bestFit="1" customWidth="1"/>
    <col min="4" max="4" width="18.296875" style="143" customWidth="1"/>
    <col min="5" max="5" width="10.796875" style="35"/>
  </cols>
  <sheetData>
    <row r="3" spans="1:5" ht="21">
      <c r="A3" s="37" t="s">
        <v>476</v>
      </c>
    </row>
    <row r="4" spans="1:5">
      <c r="A4" s="56" t="s">
        <v>502</v>
      </c>
    </row>
    <row r="6" spans="1:5">
      <c r="A6" s="56" t="s">
        <v>501</v>
      </c>
    </row>
    <row r="7" spans="1:5" s="360" customFormat="1">
      <c r="A7" s="56"/>
      <c r="D7" s="143"/>
      <c r="E7" s="470"/>
    </row>
    <row r="8" spans="1:5">
      <c r="A8" s="495" t="s">
        <v>1425</v>
      </c>
    </row>
    <row r="9" spans="1:5" s="360" customFormat="1">
      <c r="A9" s="495"/>
      <c r="D9" s="143"/>
      <c r="E9" s="470"/>
    </row>
    <row r="10" spans="1:5">
      <c r="A10" s="56" t="s">
        <v>513</v>
      </c>
      <c r="E10" s="66"/>
    </row>
    <row r="11" spans="1:5">
      <c r="A11" s="60">
        <v>1.1000000000000001</v>
      </c>
      <c r="B11" t="s">
        <v>503</v>
      </c>
      <c r="E11" s="193">
        <f t="shared" ref="E11:E23" si="0">A11</f>
        <v>1.1000000000000001</v>
      </c>
    </row>
    <row r="12" spans="1:5">
      <c r="A12" s="60">
        <v>1.2</v>
      </c>
      <c r="B12" t="s">
        <v>500</v>
      </c>
      <c r="E12" s="193">
        <f t="shared" si="0"/>
        <v>1.2</v>
      </c>
    </row>
    <row r="13" spans="1:5">
      <c r="A13" s="60">
        <v>1.3</v>
      </c>
      <c r="B13" t="s">
        <v>882</v>
      </c>
      <c r="E13" s="193">
        <f t="shared" si="0"/>
        <v>1.3</v>
      </c>
    </row>
    <row r="14" spans="1:5">
      <c r="A14" s="60">
        <v>1.4</v>
      </c>
      <c r="B14" s="79" t="s">
        <v>773</v>
      </c>
      <c r="E14" s="193">
        <f t="shared" si="0"/>
        <v>1.4</v>
      </c>
    </row>
    <row r="15" spans="1:5">
      <c r="A15" s="198" t="s">
        <v>746</v>
      </c>
      <c r="B15" s="170" t="s">
        <v>772</v>
      </c>
      <c r="E15" s="193" t="str">
        <f t="shared" si="0"/>
        <v>1.4.1</v>
      </c>
    </row>
    <row r="16" spans="1:5">
      <c r="A16" s="60" t="s">
        <v>768</v>
      </c>
      <c r="B16" t="s">
        <v>1390</v>
      </c>
      <c r="E16" s="193" t="str">
        <f t="shared" si="0"/>
        <v>1.5.1</v>
      </c>
    </row>
    <row r="17" spans="1:5" s="360" customFormat="1">
      <c r="A17" s="60" t="s">
        <v>1426</v>
      </c>
      <c r="B17" s="360" t="s">
        <v>883</v>
      </c>
      <c r="D17" s="143"/>
      <c r="E17" s="193"/>
    </row>
    <row r="18" spans="1:5">
      <c r="A18" s="198" t="s">
        <v>768</v>
      </c>
      <c r="B18" t="s">
        <v>1424</v>
      </c>
      <c r="E18" s="193" t="str">
        <f t="shared" si="0"/>
        <v>1.5.1</v>
      </c>
    </row>
    <row r="19" spans="1:5">
      <c r="A19" s="60">
        <v>1.6</v>
      </c>
      <c r="B19" t="s">
        <v>769</v>
      </c>
      <c r="E19" s="193">
        <f t="shared" si="0"/>
        <v>1.6</v>
      </c>
    </row>
    <row r="20" spans="1:5">
      <c r="A20" s="60">
        <v>1.7</v>
      </c>
      <c r="B20" t="s">
        <v>747</v>
      </c>
      <c r="E20" s="193">
        <f t="shared" si="0"/>
        <v>1.7</v>
      </c>
    </row>
    <row r="21" spans="1:5" s="360" customFormat="1">
      <c r="A21" s="60" t="s">
        <v>1427</v>
      </c>
      <c r="B21" s="360" t="s">
        <v>1396</v>
      </c>
      <c r="D21" s="143"/>
      <c r="E21" s="193"/>
    </row>
    <row r="22" spans="1:5">
      <c r="A22" s="60">
        <v>1.8</v>
      </c>
      <c r="B22" t="s">
        <v>770</v>
      </c>
      <c r="E22" s="193">
        <f t="shared" si="0"/>
        <v>1.8</v>
      </c>
    </row>
    <row r="23" spans="1:5">
      <c r="A23" s="60">
        <v>1.9</v>
      </c>
      <c r="B23" t="s">
        <v>771</v>
      </c>
      <c r="E23" s="193">
        <f t="shared" si="0"/>
        <v>1.9</v>
      </c>
    </row>
    <row r="25" spans="1:5">
      <c r="A25" s="56" t="s">
        <v>756</v>
      </c>
      <c r="C25" s="66" t="s">
        <v>766</v>
      </c>
      <c r="D25" s="66" t="s">
        <v>767</v>
      </c>
      <c r="E25" s="66"/>
    </row>
    <row r="26" spans="1:5">
      <c r="A26" s="60">
        <v>2.1</v>
      </c>
      <c r="B26" t="s">
        <v>430</v>
      </c>
      <c r="C26" s="194" t="s">
        <v>480</v>
      </c>
      <c r="D26" s="192" t="s">
        <v>763</v>
      </c>
      <c r="E26" s="193">
        <f t="shared" ref="E26:E31" si="1">A26</f>
        <v>2.1</v>
      </c>
    </row>
    <row r="27" spans="1:5">
      <c r="A27" s="60">
        <v>2.2000000000000002</v>
      </c>
      <c r="B27" t="s">
        <v>432</v>
      </c>
      <c r="C27" s="194" t="s">
        <v>480</v>
      </c>
      <c r="D27" s="192" t="s">
        <v>763</v>
      </c>
      <c r="E27" s="193">
        <f t="shared" si="1"/>
        <v>2.2000000000000002</v>
      </c>
    </row>
    <row r="28" spans="1:5">
      <c r="A28" s="60">
        <v>2.2999999999999998</v>
      </c>
      <c r="B28" t="s">
        <v>5</v>
      </c>
      <c r="C28" s="194" t="s">
        <v>480</v>
      </c>
      <c r="D28" s="192" t="s">
        <v>763</v>
      </c>
      <c r="E28" s="193">
        <f t="shared" si="1"/>
        <v>2.2999999999999998</v>
      </c>
    </row>
    <row r="29" spans="1:5">
      <c r="A29" s="64" t="s">
        <v>523</v>
      </c>
      <c r="B29" t="s">
        <v>524</v>
      </c>
      <c r="C29" s="194" t="s">
        <v>480</v>
      </c>
      <c r="D29" s="192" t="s">
        <v>763</v>
      </c>
      <c r="E29" s="193" t="str">
        <f t="shared" si="1"/>
        <v>2.3.1</v>
      </c>
    </row>
    <row r="30" spans="1:5">
      <c r="A30" s="60">
        <v>2.4</v>
      </c>
      <c r="B30" t="s">
        <v>431</v>
      </c>
      <c r="C30" s="194" t="s">
        <v>480</v>
      </c>
      <c r="D30" s="192" t="s">
        <v>763</v>
      </c>
      <c r="E30" s="193">
        <f t="shared" si="1"/>
        <v>2.4</v>
      </c>
    </row>
    <row r="31" spans="1:5">
      <c r="A31" s="60">
        <v>2.5</v>
      </c>
      <c r="B31" t="s">
        <v>54</v>
      </c>
      <c r="C31" s="194" t="s">
        <v>499</v>
      </c>
      <c r="D31" s="192" t="s">
        <v>763</v>
      </c>
      <c r="E31" s="193">
        <f t="shared" si="1"/>
        <v>2.5</v>
      </c>
    </row>
    <row r="32" spans="1:5">
      <c r="D32" s="35"/>
      <c r="E32" s="143"/>
    </row>
    <row r="33" spans="1:5">
      <c r="A33" s="56" t="s">
        <v>757</v>
      </c>
      <c r="C33" s="66" t="s">
        <v>766</v>
      </c>
      <c r="D33" s="66" t="str">
        <f>$D$25</f>
        <v>Entity Type</v>
      </c>
      <c r="E33" s="66"/>
    </row>
    <row r="34" spans="1:5">
      <c r="A34" s="60">
        <v>3.1</v>
      </c>
      <c r="B34" t="s">
        <v>267</v>
      </c>
      <c r="C34" s="194" t="s">
        <v>604</v>
      </c>
      <c r="D34" s="192" t="s">
        <v>763</v>
      </c>
      <c r="E34" s="144">
        <f t="shared" ref="E34:E43" si="2">A34</f>
        <v>3.1</v>
      </c>
    </row>
    <row r="35" spans="1:5">
      <c r="A35" s="60">
        <v>3.2</v>
      </c>
      <c r="B35" t="s">
        <v>506</v>
      </c>
      <c r="C35" s="194" t="s">
        <v>604</v>
      </c>
      <c r="D35" s="192" t="s">
        <v>763</v>
      </c>
      <c r="E35" s="144">
        <f t="shared" si="2"/>
        <v>3.2</v>
      </c>
    </row>
    <row r="36" spans="1:5">
      <c r="A36" s="60">
        <v>3.3</v>
      </c>
      <c r="B36" t="s">
        <v>507</v>
      </c>
      <c r="C36" s="194" t="s">
        <v>604</v>
      </c>
      <c r="D36" s="192" t="s">
        <v>763</v>
      </c>
      <c r="E36" s="144">
        <f t="shared" si="2"/>
        <v>3.3</v>
      </c>
    </row>
    <row r="37" spans="1:5">
      <c r="A37" s="115">
        <v>3.4</v>
      </c>
      <c r="B37" t="s">
        <v>99</v>
      </c>
      <c r="C37" s="194" t="s">
        <v>603</v>
      </c>
      <c r="D37" s="192" t="s">
        <v>763</v>
      </c>
      <c r="E37" s="144">
        <f t="shared" si="2"/>
        <v>3.4</v>
      </c>
    </row>
    <row r="38" spans="1:5">
      <c r="A38" s="60">
        <v>3.5</v>
      </c>
      <c r="B38" t="s">
        <v>888</v>
      </c>
      <c r="C38" s="194" t="s">
        <v>604</v>
      </c>
      <c r="D38" s="192" t="s">
        <v>763</v>
      </c>
      <c r="E38" s="144">
        <f t="shared" si="2"/>
        <v>3.5</v>
      </c>
    </row>
    <row r="39" spans="1:5">
      <c r="A39" s="60">
        <v>3.6</v>
      </c>
      <c r="B39" t="s">
        <v>437</v>
      </c>
      <c r="C39" s="194" t="s">
        <v>604</v>
      </c>
      <c r="D39" s="192" t="s">
        <v>763</v>
      </c>
      <c r="E39" s="144">
        <f t="shared" si="2"/>
        <v>3.6</v>
      </c>
    </row>
    <row r="40" spans="1:5">
      <c r="A40" s="60">
        <v>3.7</v>
      </c>
      <c r="B40" t="s">
        <v>504</v>
      </c>
      <c r="C40" s="194" t="s">
        <v>604</v>
      </c>
      <c r="D40" s="192" t="s">
        <v>763</v>
      </c>
      <c r="E40" s="144">
        <f t="shared" si="2"/>
        <v>3.7</v>
      </c>
    </row>
    <row r="41" spans="1:5">
      <c r="A41" s="60">
        <v>3.8</v>
      </c>
      <c r="B41" t="s">
        <v>1401</v>
      </c>
      <c r="C41" s="194" t="s">
        <v>604</v>
      </c>
      <c r="D41" s="192" t="s">
        <v>763</v>
      </c>
      <c r="E41" s="144">
        <f t="shared" si="2"/>
        <v>3.8</v>
      </c>
    </row>
    <row r="42" spans="1:5">
      <c r="A42" s="187">
        <v>3.9</v>
      </c>
      <c r="B42" t="s">
        <v>512</v>
      </c>
      <c r="C42" s="194" t="s">
        <v>480</v>
      </c>
      <c r="D42" s="192" t="s">
        <v>763</v>
      </c>
      <c r="E42" s="144">
        <f t="shared" si="2"/>
        <v>3.9</v>
      </c>
    </row>
    <row r="43" spans="1:5">
      <c r="A43" s="187" t="s">
        <v>752</v>
      </c>
      <c r="B43" t="s">
        <v>313</v>
      </c>
      <c r="C43" s="194" t="s">
        <v>480</v>
      </c>
      <c r="D43" s="192" t="s">
        <v>763</v>
      </c>
      <c r="E43" s="144" t="str">
        <f t="shared" si="2"/>
        <v>3.10</v>
      </c>
    </row>
    <row r="44" spans="1:5">
      <c r="D44" s="35"/>
      <c r="E44" s="143"/>
    </row>
    <row r="45" spans="1:5">
      <c r="A45" s="187" t="s">
        <v>753</v>
      </c>
      <c r="B45" t="s">
        <v>434</v>
      </c>
      <c r="C45" s="194" t="s">
        <v>480</v>
      </c>
      <c r="D45" s="192" t="s">
        <v>763</v>
      </c>
      <c r="E45" s="144" t="str">
        <f t="shared" ref="E45:E50" si="3">A45</f>
        <v>3.11</v>
      </c>
    </row>
    <row r="46" spans="1:5">
      <c r="A46" s="187" t="s">
        <v>754</v>
      </c>
      <c r="B46" t="s">
        <v>436</v>
      </c>
      <c r="C46" s="194" t="s">
        <v>604</v>
      </c>
      <c r="D46" s="192" t="s">
        <v>763</v>
      </c>
      <c r="E46" s="144" t="str">
        <f t="shared" si="3"/>
        <v>3.12</v>
      </c>
    </row>
    <row r="47" spans="1:5" s="262" customFormat="1">
      <c r="A47" s="187" t="s">
        <v>967</v>
      </c>
      <c r="B47" s="262" t="s">
        <v>893</v>
      </c>
      <c r="C47" s="194" t="s">
        <v>604</v>
      </c>
      <c r="D47" s="192" t="s">
        <v>763</v>
      </c>
      <c r="E47" s="144" t="str">
        <f t="shared" si="3"/>
        <v>3.13</v>
      </c>
    </row>
    <row r="48" spans="1:5" s="262" customFormat="1">
      <c r="A48" s="187" t="s">
        <v>968</v>
      </c>
      <c r="B48" s="262" t="s">
        <v>894</v>
      </c>
      <c r="C48" s="194" t="s">
        <v>604</v>
      </c>
      <c r="D48" s="192" t="s">
        <v>763</v>
      </c>
      <c r="E48" s="144" t="str">
        <f t="shared" si="3"/>
        <v>3.14</v>
      </c>
    </row>
    <row r="49" spans="1:5" s="262" customFormat="1">
      <c r="A49" s="187" t="s">
        <v>972</v>
      </c>
      <c r="B49" s="262" t="s">
        <v>892</v>
      </c>
      <c r="C49" s="194" t="s">
        <v>604</v>
      </c>
      <c r="D49" s="192" t="s">
        <v>763</v>
      </c>
      <c r="E49" s="144" t="str">
        <f t="shared" si="3"/>
        <v>3.15</v>
      </c>
    </row>
    <row r="50" spans="1:5" s="262" customFormat="1">
      <c r="A50" s="187" t="s">
        <v>973</v>
      </c>
      <c r="B50" s="262" t="s">
        <v>974</v>
      </c>
      <c r="C50" s="194" t="s">
        <v>604</v>
      </c>
      <c r="D50" s="192" t="s">
        <v>763</v>
      </c>
      <c r="E50" s="144" t="str">
        <f t="shared" si="3"/>
        <v>3.16</v>
      </c>
    </row>
    <row r="51" spans="1:5">
      <c r="D51" s="35"/>
      <c r="E51" s="143"/>
    </row>
    <row r="52" spans="1:5">
      <c r="A52" s="56" t="s">
        <v>751</v>
      </c>
      <c r="C52" s="66" t="s">
        <v>766</v>
      </c>
      <c r="D52" s="66" t="str">
        <f>$D$25</f>
        <v>Entity Type</v>
      </c>
      <c r="E52" s="66"/>
    </row>
    <row r="53" spans="1:5">
      <c r="A53" s="60">
        <v>4.0999999999999996</v>
      </c>
      <c r="B53" t="s">
        <v>509</v>
      </c>
      <c r="C53" s="194" t="s">
        <v>499</v>
      </c>
      <c r="D53" s="195" t="s">
        <v>765</v>
      </c>
      <c r="E53" s="144">
        <f t="shared" ref="E53:E64" si="4">A53</f>
        <v>4.0999999999999996</v>
      </c>
    </row>
    <row r="54" spans="1:5">
      <c r="A54" s="60">
        <v>4.2</v>
      </c>
      <c r="B54" t="s">
        <v>508</v>
      </c>
      <c r="C54" s="194" t="s">
        <v>604</v>
      </c>
      <c r="D54" s="195" t="s">
        <v>765</v>
      </c>
      <c r="E54" s="144">
        <f t="shared" si="4"/>
        <v>4.2</v>
      </c>
    </row>
    <row r="55" spans="1:5">
      <c r="A55" s="60">
        <v>4.3</v>
      </c>
      <c r="B55" t="s">
        <v>312</v>
      </c>
      <c r="C55" s="194" t="s">
        <v>499</v>
      </c>
      <c r="D55" s="195" t="s">
        <v>765</v>
      </c>
      <c r="E55" s="144">
        <f t="shared" si="4"/>
        <v>4.3</v>
      </c>
    </row>
    <row r="56" spans="1:5">
      <c r="A56" s="60">
        <v>4.4000000000000004</v>
      </c>
      <c r="B56" t="s">
        <v>525</v>
      </c>
      <c r="C56" s="194" t="s">
        <v>499</v>
      </c>
      <c r="D56" s="195" t="s">
        <v>765</v>
      </c>
      <c r="E56" s="144">
        <f t="shared" si="4"/>
        <v>4.4000000000000004</v>
      </c>
    </row>
    <row r="57" spans="1:5">
      <c r="A57" s="60">
        <v>4.5</v>
      </c>
      <c r="B57" t="s">
        <v>510</v>
      </c>
      <c r="C57" s="194" t="s">
        <v>603</v>
      </c>
      <c r="D57" s="195" t="s">
        <v>765</v>
      </c>
      <c r="E57" s="144">
        <f t="shared" si="4"/>
        <v>4.5</v>
      </c>
    </row>
    <row r="58" spans="1:5">
      <c r="A58" s="60">
        <v>4.5999999999999996</v>
      </c>
      <c r="B58" t="s">
        <v>511</v>
      </c>
      <c r="C58" s="194" t="s">
        <v>603</v>
      </c>
      <c r="D58" s="195" t="s">
        <v>765</v>
      </c>
      <c r="E58" s="144">
        <f t="shared" si="4"/>
        <v>4.5999999999999996</v>
      </c>
    </row>
    <row r="59" spans="1:5">
      <c r="A59" s="60">
        <v>4.7</v>
      </c>
      <c r="B59" t="s">
        <v>891</v>
      </c>
      <c r="C59" s="194" t="s">
        <v>603</v>
      </c>
      <c r="D59" s="195" t="s">
        <v>765</v>
      </c>
      <c r="E59" s="144">
        <f t="shared" si="4"/>
        <v>4.7</v>
      </c>
    </row>
    <row r="60" spans="1:5">
      <c r="A60" s="60">
        <v>4.8</v>
      </c>
      <c r="B60" t="s">
        <v>554</v>
      </c>
      <c r="C60" s="194" t="s">
        <v>603</v>
      </c>
      <c r="D60" s="195" t="s">
        <v>765</v>
      </c>
      <c r="E60" s="144">
        <f t="shared" si="4"/>
        <v>4.8</v>
      </c>
    </row>
    <row r="61" spans="1:5" s="262" customFormat="1">
      <c r="A61" s="60">
        <v>4.9000000000000004</v>
      </c>
      <c r="B61" s="262" t="s">
        <v>971</v>
      </c>
      <c r="C61" s="194" t="s">
        <v>499</v>
      </c>
      <c r="D61" s="195" t="s">
        <v>765</v>
      </c>
      <c r="E61" s="144">
        <f t="shared" si="4"/>
        <v>4.9000000000000004</v>
      </c>
    </row>
    <row r="62" spans="1:5" s="262" customFormat="1">
      <c r="A62" s="395">
        <v>4.0999999999999996</v>
      </c>
      <c r="B62" s="262" t="s">
        <v>969</v>
      </c>
      <c r="C62" s="194" t="s">
        <v>499</v>
      </c>
      <c r="D62" s="195" t="s">
        <v>765</v>
      </c>
      <c r="E62" s="144">
        <f t="shared" si="4"/>
        <v>4.0999999999999996</v>
      </c>
    </row>
    <row r="63" spans="1:5" s="262" customFormat="1">
      <c r="A63" s="60">
        <v>4.1100000000000003</v>
      </c>
      <c r="B63" s="262" t="s">
        <v>970</v>
      </c>
      <c r="C63" s="194" t="s">
        <v>603</v>
      </c>
      <c r="D63" s="195" t="s">
        <v>765</v>
      </c>
      <c r="E63" s="144">
        <f t="shared" si="4"/>
        <v>4.1100000000000003</v>
      </c>
    </row>
    <row r="64" spans="1:5">
      <c r="D64" s="35"/>
      <c r="E64" s="144">
        <f t="shared" si="4"/>
        <v>0</v>
      </c>
    </row>
    <row r="65" spans="1:5">
      <c r="A65" s="56" t="s">
        <v>760</v>
      </c>
      <c r="C65" s="66" t="s">
        <v>766</v>
      </c>
      <c r="D65" s="66" t="str">
        <f>$D$25</f>
        <v>Entity Type</v>
      </c>
      <c r="E65" s="66"/>
    </row>
    <row r="66" spans="1:5">
      <c r="A66" s="60">
        <v>5.0999999999999996</v>
      </c>
      <c r="B66" t="s">
        <v>514</v>
      </c>
      <c r="C66" s="194" t="s">
        <v>603</v>
      </c>
      <c r="D66" s="192" t="s">
        <v>764</v>
      </c>
      <c r="E66" s="144">
        <f t="shared" ref="E66:E71" si="5">A66</f>
        <v>5.0999999999999996</v>
      </c>
    </row>
    <row r="67" spans="1:5">
      <c r="A67" s="60">
        <v>5.2</v>
      </c>
      <c r="B67" t="s">
        <v>916</v>
      </c>
      <c r="C67" s="194" t="s">
        <v>603</v>
      </c>
      <c r="D67" s="192" t="s">
        <v>764</v>
      </c>
      <c r="E67" s="144">
        <f t="shared" si="5"/>
        <v>5.2</v>
      </c>
    </row>
    <row r="68" spans="1:5">
      <c r="A68" s="60">
        <v>5.3</v>
      </c>
      <c r="B68" t="s">
        <v>605</v>
      </c>
      <c r="C68" s="194" t="s">
        <v>603</v>
      </c>
      <c r="D68" s="192" t="s">
        <v>764</v>
      </c>
      <c r="E68" s="144">
        <f t="shared" si="5"/>
        <v>5.3</v>
      </c>
    </row>
    <row r="69" spans="1:5">
      <c r="A69" s="60">
        <v>5.4</v>
      </c>
      <c r="B69" t="s">
        <v>435</v>
      </c>
      <c r="C69" s="194" t="s">
        <v>603</v>
      </c>
      <c r="D69" s="192" t="s">
        <v>764</v>
      </c>
      <c r="E69" s="144">
        <f t="shared" si="5"/>
        <v>5.4</v>
      </c>
    </row>
    <row r="70" spans="1:5">
      <c r="A70" s="63">
        <v>5.5</v>
      </c>
      <c r="B70" t="s">
        <v>462</v>
      </c>
      <c r="C70" s="194" t="s">
        <v>603</v>
      </c>
      <c r="D70" s="192" t="s">
        <v>764</v>
      </c>
      <c r="E70" s="144">
        <f t="shared" si="5"/>
        <v>5.5</v>
      </c>
    </row>
    <row r="71" spans="1:5">
      <c r="A71" s="187">
        <v>5.6</v>
      </c>
      <c r="B71" t="s">
        <v>33</v>
      </c>
      <c r="C71" s="194" t="s">
        <v>604</v>
      </c>
      <c r="D71" s="192" t="s">
        <v>764</v>
      </c>
      <c r="E71" s="144">
        <f t="shared" si="5"/>
        <v>5.6</v>
      </c>
    </row>
    <row r="72" spans="1:5" s="331" customFormat="1">
      <c r="A72" s="187">
        <v>5.7</v>
      </c>
      <c r="B72" s="331" t="s">
        <v>1044</v>
      </c>
      <c r="C72" s="194" t="s">
        <v>603</v>
      </c>
      <c r="D72" s="192" t="s">
        <v>764</v>
      </c>
      <c r="E72" s="144">
        <f t="shared" ref="E72" si="6">A72</f>
        <v>5.7</v>
      </c>
    </row>
    <row r="73" spans="1:5">
      <c r="A73" s="60"/>
      <c r="C73" s="194"/>
      <c r="D73" s="192"/>
      <c r="E73" s="144"/>
    </row>
    <row r="74" spans="1:5">
      <c r="A74" s="56" t="s">
        <v>761</v>
      </c>
      <c r="D74" s="144">
        <f>A68</f>
        <v>5.3</v>
      </c>
    </row>
    <row r="75" spans="1:5">
      <c r="A75" s="144"/>
      <c r="B75" s="144"/>
      <c r="C75" s="144"/>
      <c r="D75" s="144"/>
    </row>
    <row r="76" spans="1:5">
      <c r="A76" s="56" t="s">
        <v>762</v>
      </c>
      <c r="B76" s="144"/>
      <c r="C76" s="144"/>
    </row>
    <row r="77" spans="1:5">
      <c r="A77" s="144"/>
      <c r="B77" s="144"/>
      <c r="C77" s="144"/>
    </row>
    <row r="78" spans="1:5">
      <c r="D78" s="144">
        <f>A70</f>
        <v>5.5</v>
      </c>
    </row>
    <row r="79" spans="1:5">
      <c r="D79" s="144" t="e">
        <f>#REF!</f>
        <v>#REF!</v>
      </c>
    </row>
    <row r="80" spans="1:5">
      <c r="D80" s="144">
        <f>A75</f>
        <v>0</v>
      </c>
    </row>
  </sheetData>
  <phoneticPr fontId="16" type="noConversion"/>
  <hyperlinks>
    <hyperlink ref="A11" location="'1.1 Introduction '!A1" display="'1.1 Introduction '!A1"/>
    <hyperlink ref="A12" location="'1.2 Contact'!A1" display="'1.2 Contact'!A1"/>
    <hyperlink ref="A13" location="'1.3 Summary Results 2015'!A1" display="'1.3 Summary Results 2015'!A1"/>
    <hyperlink ref="A16" location="'1.5 Economic Summary 2015'!A1" display="'1.5 Economic Summary 2015'!A1"/>
    <hyperlink ref="A19" location="'1.6 Sensitivity'!A1" display="'1.6 Sensitivity'!A1"/>
    <hyperlink ref="A22" location="'1.8 Device Sales'!A1" display="'1.8 Device Sales'!A1"/>
    <hyperlink ref="A26" location="'2.1 Qualcomm'!A1" display="'2.1 Qualcomm'!A1"/>
    <hyperlink ref="A27" location="'2.2 Ericsson'!A1" display="'2.2 Ericsson'!A1"/>
    <hyperlink ref="A28" location="'2.3 Nokia'!A1" display="'2.3 Nokia'!A1"/>
    <hyperlink ref="A30" location="'2.4 Interdigital'!A1" display="'2.4 Interdigital'!A1"/>
    <hyperlink ref="A31" location="'2.5 Microsoft'!A1" display="'2.5 Microsoft'!A1"/>
    <hyperlink ref="A34" location="'3.1 Philips'!A1" display="'3.1 Philips'!A1"/>
    <hyperlink ref="A35" location="'3.2 ATT 802.11'!A1" display="'3.2 ATT 802.11'!A1"/>
    <hyperlink ref="A36" location="'3.3 ATT MPEG4'!A1" display="'3.3 ATT MPEG4'!A1"/>
    <hyperlink ref="A37" location="'3.4 Broadcom'!A1" display="'3.4 Broadcom'!A1"/>
    <hyperlink ref="A4" location="'Title Page'!A1" display="Title page"/>
    <hyperlink ref="A6" location="'Citation Info'!A1" display="Citation Information"/>
    <hyperlink ref="A53" location="'4.1 Via Licensing AAC'!A1" display="'4.1 Via Licensing AAC'!A1"/>
    <hyperlink ref="A54" location="'4.2 Via Licensing LTE'!A1" display="'4.2 Via Licensing LTE'!A1"/>
    <hyperlink ref="A55" location="'4.3 MPEGLA MPEG4'!A1" display="'4.3 MPEGLA MPEG4'!A1"/>
    <hyperlink ref="A56" location="'4.4 MPEGLA AVC H.264'!A1" display="'4.4 MPEGLA AVC H.264'!A1"/>
    <hyperlink ref="A57" location="'4.5 Sisvel LTE'!A1" display="'4.5 Sisvel LTE'!A1"/>
    <hyperlink ref="A58" location="'4.6 Sisvel Wifi'!A1" display="'4.6 Sisvel Wifi'!A1"/>
    <hyperlink ref="A59" location="'4.7 SIPROLab WCDMA'!A1" display="'4.7 SIPROLab WCDMA'!A1"/>
    <hyperlink ref="A38" location="'3.5 Xperi'!A1" display="'3.5 Xperi'!A1"/>
    <hyperlink ref="A39" location="'3.6 Rambus'!A1" display="'3.6 Rambus'!A1"/>
    <hyperlink ref="A40" location="'3.7 Acacia Technologies'!A1" display="'3.7 Acacia Technologies'!A1"/>
    <hyperlink ref="A41" location="'3.8 WiLAN'!A1" display="'3.8 WiLAN'!A1"/>
    <hyperlink ref="A42" location="'3.9 Parkervision'!A1" display="'3.9 Parkervision'!A1"/>
    <hyperlink ref="A43" location="'3.10 Unwired Planet'!A1" display="3.10"/>
    <hyperlink ref="A52" location="'4.0 Pools-&gt;'!A1" display="4.0 Mobile Related Patent Pools"/>
    <hyperlink ref="A33" location="'3.0 Other Public-&gt;'!A1" display="3.0 Other Public Corporations"/>
    <hyperlink ref="A25" location="'2.0 Leaders-&gt;'!A1" display="2.0 Mobile Patent Licensing Leaders"/>
    <hyperlink ref="A10" location="'1.0 Overview-&gt;'!A1" display="1.0 Overview"/>
    <hyperlink ref="A65" location="'5.0 Other Private-&gt;'!A1" display="5.0 Other Private Corporations"/>
    <hyperlink ref="A76" location="'7.0 Closing'!A1" display="7.0 Closing"/>
    <hyperlink ref="A29" location="'2.3.1 Alcatel-Lucent (Nokia)'!A1" display="'2.3.1 Alcatel-Lucent (Nokia)'!A1"/>
    <hyperlink ref="A66" location="'5.1 SISVEL Wireless'!A1" display="'5.1 SISVEL Wireless'!A1"/>
    <hyperlink ref="A60" location="'4.8 Vectis WiFi'!A1" display="'4.8 Vectis WiFi'!A1"/>
    <hyperlink ref="A23" location="'1.9 OEM Sales'!A1" display="'1.9 OEM Sales'!A1"/>
    <hyperlink ref="A14" location="'1.4 Summary Results Since 2007'!A1" display="'1.4 Summary Results Since 2007'!A1"/>
    <hyperlink ref="A45" location="'3.11 VirnetX'!A1" display="3.11"/>
    <hyperlink ref="A46" location="'3.12 Marathon Patent Group'!A1" display="3.12"/>
    <hyperlink ref="A74" location="'6.0 Others'!A1" display="6.0 Other Identified Entities for Future Consideration"/>
    <hyperlink ref="A20" location="'1.7 Revenues by Licensor'!A1" display="'1.7 Revenues by Licensor'!A1"/>
    <hyperlink ref="A47" location="'3.13 IBM'!A1" display="3.13"/>
    <hyperlink ref="A48" location="'3.14 Tivo'!A1" display="3.14"/>
    <hyperlink ref="A61" location="'4.8 Vectis WiFi'!A1" display="'4.8 Vectis WiFi'!A1"/>
    <hyperlink ref="A62" location="'4.8 Vectis WiFi'!A1" display="'4.8 Vectis WiFi'!A1"/>
    <hyperlink ref="A49" location="'3.15 Technicolor'!A1" display="3.15"/>
    <hyperlink ref="A50" location="'3.16 Blackberry'!A1" display="3.16"/>
    <hyperlink ref="A68" location="'5.3 PanOptis-Optis'!A1" display="'5.3 PanOptis-Optis'!A1"/>
    <hyperlink ref="A72" location="'5.7 Conversant IP'!A1" display="'5.7 Conversant IP'!A1"/>
    <hyperlink ref="A70" location="'5.5 Intellectual Ventures'!A1" display="'5.5 Intellectual Ventures'!A1"/>
    <hyperlink ref="A69" location="'5.4 IP Bridge'!A1" display="'5.4 IP Bridge'!A1"/>
    <hyperlink ref="A67" location="'5.2 IPCom'!A1" display="'5.2 IPCom'!A1"/>
    <hyperlink ref="A71" location="'5.6 Huawei'!A1" display="'5.6 Huawei'!A1"/>
    <hyperlink ref="A63" location="'4.11 Velos Media HEVC'!A1" display="'4.11 Velos Media HEVC'!A1"/>
    <hyperlink ref="A21" location="'1.7.1 Summary by Licensor'!A1" display="1.7.1"/>
    <hyperlink ref="A8" location="'2017 Improvements'!A1" display="'2017 Improvements'!A1"/>
    <hyperlink ref="A17" location="'1.5.2 Economic Summary 2016'!A1" display="1.5.2"/>
  </hyperlinks>
  <pageMargins left="0.7" right="0.7" top="0.75" bottom="0.75" header="0.3" footer="0.3"/>
  <pageSetup orientation="portrait" horizontalDpi="4294967292" verticalDpi="4294967292" r:id="rId1"/>
  <headerFooter>
    <oddHeader>&amp;LA New Dataset on Mobile Phone _x000D_Patent License Royalties&amp;C&amp;A&amp;RAugust 2017 Update</oddHeader>
    <oddFooter>&amp;LAlexander Galetovic, Stephen Haber, _x000D_and Lew Zaretzki&amp;C&amp;P of &amp;N</oddFooter>
  </headerFooter>
  <rowBreaks count="1" manualBreakCount="1">
    <brk id="43" max="16383" man="1"/>
  </rowBreaks>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G31"/>
  <sheetViews>
    <sheetView showGridLines="0" view="pageLayout" topLeftCell="A15" workbookViewId="0"/>
  </sheetViews>
  <sheetFormatPr baseColWidth="10" defaultColWidth="10.796875" defaultRowHeight="15.6"/>
  <cols>
    <col min="1" max="1" width="16" style="262" customWidth="1"/>
    <col min="2" max="2" width="14.69921875" style="262" bestFit="1" customWidth="1"/>
    <col min="3" max="3" width="10" style="262" customWidth="1"/>
    <col min="4" max="4" width="16" style="262" customWidth="1"/>
    <col min="5" max="5" width="13.5" style="262" customWidth="1"/>
    <col min="6" max="16384" width="10.796875" style="262"/>
  </cols>
  <sheetData>
    <row r="2" spans="1:7">
      <c r="A2" s="143" t="s">
        <v>974</v>
      </c>
    </row>
    <row r="3" spans="1:7" ht="18">
      <c r="A3" s="55" t="str">
        <f>CONCATENATE(VLOOKUP($A$2,'Table of Contents'!$B:$E,4,FALSE)," ",$A$2)</f>
        <v>3.16 Blackberry</v>
      </c>
    </row>
    <row r="4" spans="1:7">
      <c r="A4" s="319" t="s">
        <v>763</v>
      </c>
    </row>
    <row r="5" spans="1:7">
      <c r="A5" s="54" t="s">
        <v>604</v>
      </c>
    </row>
    <row r="6" spans="1:7">
      <c r="A6" s="260"/>
    </row>
    <row r="7" spans="1:7">
      <c r="A7" s="10" t="s">
        <v>505</v>
      </c>
      <c r="B7" s="319"/>
      <c r="C7" s="319"/>
      <c r="D7" s="319"/>
      <c r="E7" s="319"/>
      <c r="F7" s="319"/>
      <c r="G7" s="319"/>
    </row>
    <row r="8" spans="1:7">
      <c r="A8" s="558" t="s">
        <v>1040</v>
      </c>
      <c r="B8" s="558"/>
      <c r="C8" s="558"/>
      <c r="D8" s="558"/>
      <c r="E8" s="558"/>
      <c r="F8" s="558"/>
      <c r="G8" s="558"/>
    </row>
    <row r="9" spans="1:7" ht="36" customHeight="1">
      <c r="A9" s="558"/>
      <c r="B9" s="558"/>
      <c r="C9" s="558"/>
      <c r="D9" s="558"/>
      <c r="E9" s="558"/>
      <c r="F9" s="558"/>
      <c r="G9" s="558"/>
    </row>
    <row r="10" spans="1:7">
      <c r="A10" s="319"/>
      <c r="B10" s="319"/>
      <c r="C10" s="319"/>
      <c r="D10" s="319"/>
      <c r="E10" s="319"/>
      <c r="F10" s="319"/>
      <c r="G10" s="319"/>
    </row>
    <row r="11" spans="1:7">
      <c r="A11" s="556" t="s">
        <v>539</v>
      </c>
      <c r="B11" s="556"/>
      <c r="C11" s="319"/>
      <c r="D11" s="319"/>
      <c r="E11" s="319"/>
      <c r="F11" s="319"/>
      <c r="G11" s="319"/>
    </row>
    <row r="12" spans="1:7" ht="52.05" customHeight="1">
      <c r="A12" s="558" t="s">
        <v>1041</v>
      </c>
      <c r="B12" s="558"/>
      <c r="C12" s="558"/>
      <c r="D12" s="558"/>
      <c r="E12" s="558"/>
      <c r="F12" s="558"/>
      <c r="G12" s="558"/>
    </row>
    <row r="13" spans="1:7">
      <c r="A13" s="319"/>
      <c r="B13" s="319"/>
      <c r="C13" s="319"/>
      <c r="D13" s="319"/>
      <c r="E13" s="319"/>
      <c r="F13" s="319"/>
      <c r="G13" s="319"/>
    </row>
    <row r="14" spans="1:7">
      <c r="A14" s="10" t="s">
        <v>538</v>
      </c>
      <c r="B14" s="319"/>
      <c r="C14" s="319"/>
      <c r="D14" s="319"/>
      <c r="E14" s="319"/>
      <c r="F14" s="319" t="s">
        <v>7</v>
      </c>
      <c r="G14" s="319"/>
    </row>
    <row r="15" spans="1:7">
      <c r="A15" s="558" t="s">
        <v>1036</v>
      </c>
      <c r="B15" s="558"/>
      <c r="C15" s="558"/>
      <c r="D15" s="558"/>
      <c r="E15" s="558"/>
      <c r="F15" s="558"/>
      <c r="G15" s="558"/>
    </row>
    <row r="16" spans="1:7">
      <c r="A16" s="198" t="s">
        <v>1023</v>
      </c>
      <c r="B16" s="319"/>
      <c r="C16" s="327">
        <v>1</v>
      </c>
      <c r="D16" s="319"/>
      <c r="E16" s="319"/>
      <c r="F16" s="319"/>
      <c r="G16" s="319"/>
    </row>
    <row r="17" spans="1:7">
      <c r="A17" s="198" t="s">
        <v>1011</v>
      </c>
      <c r="B17" s="319"/>
      <c r="C17" s="327">
        <v>1</v>
      </c>
      <c r="D17" s="319" t="s">
        <v>1026</v>
      </c>
      <c r="E17" s="319"/>
      <c r="F17" s="319"/>
      <c r="G17" s="319"/>
    </row>
    <row r="18" spans="1:7">
      <c r="A18" s="319"/>
      <c r="B18" s="319"/>
      <c r="C18" s="319"/>
      <c r="D18" s="319"/>
      <c r="E18" s="319"/>
      <c r="F18" s="319"/>
      <c r="G18" s="319"/>
    </row>
    <row r="19" spans="1:7" ht="62.4">
      <c r="A19" s="66" t="s">
        <v>0</v>
      </c>
      <c r="B19" s="66" t="s">
        <v>1009</v>
      </c>
      <c r="C19" s="75" t="s">
        <v>1010</v>
      </c>
      <c r="D19" s="80" t="s">
        <v>30</v>
      </c>
      <c r="E19" s="146" t="s">
        <v>1024</v>
      </c>
      <c r="F19" s="146" t="s">
        <v>1018</v>
      </c>
      <c r="G19" s="146"/>
    </row>
    <row r="20" spans="1:7">
      <c r="A20" s="320">
        <v>2007</v>
      </c>
      <c r="B20" s="96">
        <v>0</v>
      </c>
      <c r="C20" s="96">
        <v>0</v>
      </c>
      <c r="D20" s="97">
        <f>SUM(B20:C20)</f>
        <v>0</v>
      </c>
      <c r="E20" s="96">
        <f>D20*$C$17*$C$16</f>
        <v>0</v>
      </c>
      <c r="F20" s="319"/>
      <c r="G20" s="319"/>
    </row>
    <row r="21" spans="1:7">
      <c r="A21" s="320">
        <v>2008</v>
      </c>
      <c r="B21" s="96">
        <v>0</v>
      </c>
      <c r="C21" s="96">
        <v>0</v>
      </c>
      <c r="D21" s="97">
        <f t="shared" ref="D21:D29" si="0">SUM(B21:C21)</f>
        <v>0</v>
      </c>
      <c r="E21" s="96">
        <f t="shared" ref="E21:E29" si="1">D21*$C$17*$C$16</f>
        <v>0</v>
      </c>
      <c r="F21" s="319"/>
      <c r="G21" s="319"/>
    </row>
    <row r="22" spans="1:7">
      <c r="A22" s="320">
        <v>2009</v>
      </c>
      <c r="B22" s="96">
        <v>0</v>
      </c>
      <c r="C22" s="96">
        <v>0</v>
      </c>
      <c r="D22" s="97">
        <f t="shared" si="0"/>
        <v>0</v>
      </c>
      <c r="E22" s="96">
        <f t="shared" si="1"/>
        <v>0</v>
      </c>
      <c r="F22" s="319"/>
      <c r="G22" s="319"/>
    </row>
    <row r="23" spans="1:7">
      <c r="A23" s="320">
        <v>2010</v>
      </c>
      <c r="B23" s="96">
        <v>0</v>
      </c>
      <c r="C23" s="96">
        <v>0</v>
      </c>
      <c r="D23" s="97">
        <f t="shared" si="0"/>
        <v>0</v>
      </c>
      <c r="E23" s="96">
        <f t="shared" si="1"/>
        <v>0</v>
      </c>
      <c r="F23" s="319"/>
      <c r="G23" s="319"/>
    </row>
    <row r="24" spans="1:7">
      <c r="A24" s="320">
        <v>2011</v>
      </c>
      <c r="B24" s="96">
        <v>0</v>
      </c>
      <c r="C24" s="96">
        <v>0</v>
      </c>
      <c r="D24" s="97">
        <f t="shared" si="0"/>
        <v>0</v>
      </c>
      <c r="E24" s="96">
        <f t="shared" si="1"/>
        <v>0</v>
      </c>
      <c r="F24" s="319"/>
      <c r="G24" s="319"/>
    </row>
    <row r="25" spans="1:7">
      <c r="A25" s="320">
        <v>2012</v>
      </c>
      <c r="B25" s="96">
        <v>0</v>
      </c>
      <c r="C25" s="96">
        <v>0</v>
      </c>
      <c r="D25" s="97">
        <f t="shared" si="0"/>
        <v>0</v>
      </c>
      <c r="E25" s="96">
        <f t="shared" si="1"/>
        <v>0</v>
      </c>
      <c r="F25" s="319"/>
      <c r="G25" s="319"/>
    </row>
    <row r="26" spans="1:7">
      <c r="A26" s="320">
        <v>2013</v>
      </c>
      <c r="B26" s="96">
        <v>0</v>
      </c>
      <c r="C26" s="96">
        <v>0</v>
      </c>
      <c r="D26" s="97">
        <f t="shared" si="0"/>
        <v>0</v>
      </c>
      <c r="E26" s="96">
        <f t="shared" si="1"/>
        <v>0</v>
      </c>
      <c r="F26" s="319"/>
      <c r="G26" s="319"/>
    </row>
    <row r="27" spans="1:7">
      <c r="A27" s="320">
        <v>2014</v>
      </c>
      <c r="B27" s="96">
        <v>0</v>
      </c>
      <c r="C27" s="96">
        <v>0</v>
      </c>
      <c r="D27" s="97">
        <f t="shared" si="0"/>
        <v>0</v>
      </c>
      <c r="E27" s="96">
        <f t="shared" si="1"/>
        <v>0</v>
      </c>
      <c r="F27" s="349"/>
      <c r="G27" s="319"/>
    </row>
    <row r="28" spans="1:7">
      <c r="A28" s="320">
        <v>2015</v>
      </c>
      <c r="B28" s="96">
        <v>123</v>
      </c>
      <c r="C28" s="96">
        <v>0</v>
      </c>
      <c r="D28" s="97">
        <f t="shared" si="0"/>
        <v>123</v>
      </c>
      <c r="E28" s="96">
        <f t="shared" si="1"/>
        <v>123</v>
      </c>
      <c r="F28" s="349"/>
      <c r="G28" s="319"/>
    </row>
    <row r="29" spans="1:7">
      <c r="A29" s="320">
        <v>2016</v>
      </c>
      <c r="B29" s="96">
        <v>35</v>
      </c>
      <c r="C29" s="96">
        <v>0</v>
      </c>
      <c r="D29" s="97">
        <f t="shared" si="0"/>
        <v>35</v>
      </c>
      <c r="E29" s="96">
        <f t="shared" si="1"/>
        <v>35</v>
      </c>
      <c r="F29" s="349" t="s">
        <v>1233</v>
      </c>
      <c r="G29" s="319"/>
    </row>
    <row r="30" spans="1:7">
      <c r="A30" s="319"/>
      <c r="B30" s="319"/>
      <c r="C30" s="319"/>
      <c r="D30" s="319"/>
      <c r="E30" s="319"/>
      <c r="F30" s="319"/>
      <c r="G30" s="319"/>
    </row>
    <row r="31" spans="1:7">
      <c r="A31" s="319"/>
      <c r="B31" s="319"/>
      <c r="C31" s="319"/>
      <c r="D31" s="319"/>
      <c r="E31" s="319"/>
      <c r="F31" s="319"/>
      <c r="G31" s="319"/>
    </row>
  </sheetData>
  <mergeCells count="4">
    <mergeCell ref="A8:G9"/>
    <mergeCell ref="A11:B11"/>
    <mergeCell ref="A12:G12"/>
    <mergeCell ref="A15:G15"/>
  </mergeCells>
  <phoneticPr fontId="16" type="noConversion"/>
  <pageMargins left="0.7" right="0.7" top="0.75" bottom="0.75" header="0.3" footer="0.3"/>
  <pageSetup scale="90" fitToHeight="0" orientation="portrait" horizontalDpi="0" verticalDpi="0"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12:A41"/>
  <sheetViews>
    <sheetView showGridLines="0" view="pageLayout" workbookViewId="0">
      <selection activeCell="M38" sqref="M38"/>
    </sheetView>
  </sheetViews>
  <sheetFormatPr baseColWidth="10" defaultRowHeight="15.6"/>
  <cols>
    <col min="1" max="1" width="75.796875" customWidth="1"/>
  </cols>
  <sheetData>
    <row r="12" spans="1:1" ht="25.8">
      <c r="A12" s="58" t="s">
        <v>518</v>
      </c>
    </row>
    <row r="13" spans="1:1" ht="25.8">
      <c r="A13" s="58" t="s">
        <v>383</v>
      </c>
    </row>
    <row r="15" spans="1:1">
      <c r="A15" s="538" t="s">
        <v>522</v>
      </c>
    </row>
    <row r="16" spans="1:1">
      <c r="A16" s="551"/>
    </row>
    <row r="17" spans="1:1">
      <c r="A17" s="551"/>
    </row>
    <row r="18" spans="1:1">
      <c r="A18" s="551"/>
    </row>
    <row r="19" spans="1:1">
      <c r="A19" s="551"/>
    </row>
    <row r="20" spans="1:1">
      <c r="A20" s="551"/>
    </row>
    <row r="21" spans="1:1">
      <c r="A21" s="551"/>
    </row>
    <row r="22" spans="1:1">
      <c r="A22" s="551"/>
    </row>
    <row r="23" spans="1:1">
      <c r="A23" s="551"/>
    </row>
    <row r="24" spans="1:1">
      <c r="A24" s="551"/>
    </row>
    <row r="25" spans="1:1">
      <c r="A25" s="551"/>
    </row>
    <row r="26" spans="1:1">
      <c r="A26" s="551"/>
    </row>
    <row r="27" spans="1:1">
      <c r="A27" s="551"/>
    </row>
    <row r="28" spans="1:1">
      <c r="A28" s="551"/>
    </row>
    <row r="29" spans="1:1">
      <c r="A29" s="551"/>
    </row>
    <row r="30" spans="1:1">
      <c r="A30" s="551"/>
    </row>
    <row r="31" spans="1:1">
      <c r="A31" s="551"/>
    </row>
    <row r="32" spans="1:1">
      <c r="A32" s="551"/>
    </row>
    <row r="33" spans="1:1">
      <c r="A33" s="551"/>
    </row>
    <row r="34" spans="1:1">
      <c r="A34" s="551"/>
    </row>
    <row r="35" spans="1:1">
      <c r="A35" s="551"/>
    </row>
    <row r="36" spans="1:1">
      <c r="A36" s="551"/>
    </row>
    <row r="37" spans="1:1">
      <c r="A37" s="551"/>
    </row>
    <row r="38" spans="1:1">
      <c r="A38" s="551"/>
    </row>
    <row r="39" spans="1:1">
      <c r="A39" s="551"/>
    </row>
    <row r="40" spans="1:1">
      <c r="A40" s="551"/>
    </row>
    <row r="41" spans="1:1">
      <c r="A41" s="551"/>
    </row>
  </sheetData>
  <mergeCells count="1">
    <mergeCell ref="A15:A41"/>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oddHeader>
    <oddFooter>&amp;LAlexander Galetovic, Stephen Haber, _x000D_and Lew Zaretzki</oddFooter>
  </headerFooter>
  <extLst>
    <ext xmlns:mx="http://schemas.microsoft.com/office/mac/excel/2008/main" uri="{64002731-A6B0-56B0-2670-7721B7C09600}">
      <mx:PLV Mode="1" OnePage="0" WScale="10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758"/>
  <sheetViews>
    <sheetView showGridLines="0" view="pageLayout" topLeftCell="A265" zoomScale="99" zoomScalePageLayoutView="99" workbookViewId="0">
      <selection activeCell="E120" sqref="E120"/>
    </sheetView>
  </sheetViews>
  <sheetFormatPr baseColWidth="10" defaultColWidth="10.796875" defaultRowHeight="15.6" outlineLevelRow="2"/>
  <cols>
    <col min="1" max="1" width="30.19921875" style="283" customWidth="1"/>
    <col min="2" max="2" width="12.19921875" style="283" customWidth="1"/>
    <col min="3" max="23" width="9" style="283" customWidth="1"/>
    <col min="24" max="25" width="10.69921875" style="283" customWidth="1"/>
    <col min="26" max="27" width="12.69921875" style="283" customWidth="1"/>
    <col min="28" max="16384" width="10.796875" style="283"/>
  </cols>
  <sheetData>
    <row r="2" spans="1:6">
      <c r="A2" s="189" t="s">
        <v>509</v>
      </c>
    </row>
    <row r="3" spans="1:6">
      <c r="A3" s="107" t="str">
        <f>CONCATENATE(VLOOKUP($A$2,'Table of Contents'!$B:$E,4,FALSE)," ",$A$2)</f>
        <v>4.1 Via Licensing AAC</v>
      </c>
    </row>
    <row r="4" spans="1:6">
      <c r="A4" s="8" t="str">
        <f>VLOOKUP($A$2,'Table of Contents'!$B:$E,3,FALSE)</f>
        <v>Pool</v>
      </c>
    </row>
    <row r="5" spans="1:6">
      <c r="A5" s="54" t="str">
        <f>VLOOKUP($A$2,'Table of Contents'!$B:$E,2,FALSE)</f>
        <v>Documented</v>
      </c>
    </row>
    <row r="6" spans="1:6">
      <c r="A6" s="107"/>
    </row>
    <row r="7" spans="1:6" ht="97.8" customHeight="1">
      <c r="A7" s="563" t="s">
        <v>1325</v>
      </c>
      <c r="B7" s="563"/>
      <c r="C7" s="563"/>
      <c r="D7" s="563"/>
      <c r="E7" s="563"/>
      <c r="F7" s="563"/>
    </row>
    <row r="8" spans="1:6">
      <c r="A8" s="242"/>
      <c r="B8" s="242"/>
      <c r="C8" s="242"/>
      <c r="D8" s="242"/>
      <c r="E8" s="242"/>
    </row>
    <row r="9" spans="1:6" ht="31.05" customHeight="1">
      <c r="A9" s="567" t="s">
        <v>1324</v>
      </c>
      <c r="B9" s="567"/>
      <c r="C9" s="567"/>
      <c r="D9" s="567"/>
      <c r="E9" s="567"/>
    </row>
    <row r="11" spans="1:6">
      <c r="A11" s="162" t="s">
        <v>725</v>
      </c>
      <c r="B11" s="168" t="s">
        <v>315</v>
      </c>
    </row>
    <row r="12" spans="1:6">
      <c r="A12" s="283" t="s">
        <v>314</v>
      </c>
      <c r="B12" s="447">
        <v>0.98</v>
      </c>
    </row>
    <row r="13" spans="1:6">
      <c r="A13" s="283" t="s">
        <v>316</v>
      </c>
      <c r="B13" s="447">
        <v>0.78</v>
      </c>
    </row>
    <row r="14" spans="1:6">
      <c r="A14" s="283" t="s">
        <v>317</v>
      </c>
      <c r="B14" s="447">
        <v>0.68</v>
      </c>
    </row>
    <row r="15" spans="1:6">
      <c r="A15" s="283" t="s">
        <v>318</v>
      </c>
      <c r="B15" s="447">
        <v>0.45</v>
      </c>
    </row>
    <row r="16" spans="1:6">
      <c r="A16" s="283" t="s">
        <v>319</v>
      </c>
      <c r="B16" s="447">
        <v>0.42</v>
      </c>
    </row>
    <row r="17" spans="1:2">
      <c r="A17" s="283" t="s">
        <v>320</v>
      </c>
      <c r="B17" s="447">
        <v>0.22</v>
      </c>
    </row>
    <row r="18" spans="1:2">
      <c r="A18" s="283" t="s">
        <v>321</v>
      </c>
      <c r="B18" s="447">
        <v>0.2</v>
      </c>
    </row>
    <row r="19" spans="1:2">
      <c r="A19" s="283" t="s">
        <v>322</v>
      </c>
      <c r="B19" s="447">
        <v>0.15</v>
      </c>
    </row>
    <row r="20" spans="1:2">
      <c r="A20" s="283" t="s">
        <v>323</v>
      </c>
      <c r="B20" s="447">
        <v>0.1</v>
      </c>
    </row>
    <row r="21" spans="1:2">
      <c r="A21" s="283" t="s">
        <v>326</v>
      </c>
    </row>
    <row r="23" spans="1:2">
      <c r="A23" s="162" t="s">
        <v>374</v>
      </c>
    </row>
    <row r="24" spans="1:2">
      <c r="A24" s="283" t="s">
        <v>327</v>
      </c>
    </row>
    <row r="25" spans="1:2">
      <c r="A25" s="283" t="s">
        <v>128</v>
      </c>
    </row>
    <row r="26" spans="1:2">
      <c r="A26" s="283" t="s">
        <v>325</v>
      </c>
    </row>
    <row r="27" spans="1:2">
      <c r="A27" s="283" t="s">
        <v>153</v>
      </c>
    </row>
    <row r="28" spans="1:2">
      <c r="A28" s="283" t="s">
        <v>206</v>
      </c>
    </row>
    <row r="29" spans="1:2">
      <c r="A29" s="283" t="s">
        <v>161</v>
      </c>
    </row>
    <row r="30" spans="1:2">
      <c r="A30" s="283" t="s">
        <v>281</v>
      </c>
    </row>
    <row r="31" spans="1:2">
      <c r="A31" s="283" t="s">
        <v>230</v>
      </c>
    </row>
    <row r="32" spans="1:2">
      <c r="A32" s="283" t="s">
        <v>209</v>
      </c>
    </row>
    <row r="33" spans="1:27">
      <c r="A33" s="283" t="s">
        <v>284</v>
      </c>
    </row>
    <row r="35" spans="1:27">
      <c r="A35" s="448" t="s">
        <v>1326</v>
      </c>
    </row>
    <row r="36" spans="1:27">
      <c r="F36" s="283" t="s">
        <v>7</v>
      </c>
      <c r="AA36" s="449" t="e">
        <f>SUM(#REF!)</f>
        <v>#REF!</v>
      </c>
    </row>
    <row r="37" spans="1:27">
      <c r="A37" s="107" t="s">
        <v>1330</v>
      </c>
    </row>
    <row r="38" spans="1:27" ht="31.2" customHeight="1">
      <c r="A38" s="563" t="s">
        <v>1307</v>
      </c>
      <c r="B38" s="563"/>
      <c r="C38" s="563"/>
      <c r="D38" s="563"/>
      <c r="E38" s="563"/>
      <c r="F38" s="563"/>
    </row>
    <row r="39" spans="1:27">
      <c r="A39" s="517" t="s">
        <v>1308</v>
      </c>
      <c r="B39" s="517"/>
      <c r="C39" s="517"/>
      <c r="D39" s="517"/>
      <c r="E39" s="517"/>
      <c r="F39" s="517"/>
    </row>
    <row r="40" spans="1:27">
      <c r="A40" s="517" t="s">
        <v>1309</v>
      </c>
      <c r="B40" s="517"/>
      <c r="C40" s="517"/>
      <c r="D40" s="517"/>
      <c r="E40" s="517"/>
      <c r="F40" s="517"/>
    </row>
    <row r="41" spans="1:27" ht="33" customHeight="1">
      <c r="A41" s="570" t="s">
        <v>1310</v>
      </c>
      <c r="B41" s="570"/>
      <c r="C41" s="570"/>
      <c r="D41" s="570"/>
      <c r="E41" s="570"/>
      <c r="F41" s="570"/>
    </row>
    <row r="42" spans="1:27" ht="32.549999999999997" customHeight="1">
      <c r="A42" s="570" t="s">
        <v>1311</v>
      </c>
      <c r="B42" s="570"/>
      <c r="C42" s="570"/>
      <c r="D42" s="570"/>
      <c r="E42" s="570"/>
      <c r="F42" s="570"/>
    </row>
    <row r="43" spans="1:27" ht="32.549999999999997" customHeight="1">
      <c r="A43" s="570" t="s">
        <v>1312</v>
      </c>
      <c r="B43" s="570"/>
      <c r="C43" s="570"/>
      <c r="D43" s="570"/>
      <c r="E43" s="570"/>
      <c r="F43" s="570"/>
    </row>
    <row r="44" spans="1:27">
      <c r="A44" s="518" t="s">
        <v>1313</v>
      </c>
      <c r="B44" s="517"/>
      <c r="C44" s="517"/>
      <c r="D44" s="517"/>
      <c r="E44" s="517"/>
      <c r="F44" s="517"/>
    </row>
    <row r="45" spans="1:27">
      <c r="A45" s="518" t="s">
        <v>1314</v>
      </c>
      <c r="B45" s="517"/>
      <c r="C45" s="517"/>
      <c r="D45" s="517"/>
      <c r="E45" s="517"/>
      <c r="F45" s="517"/>
    </row>
    <row r="46" spans="1:27">
      <c r="A46" s="518" t="s">
        <v>1315</v>
      </c>
      <c r="B46" s="517"/>
      <c r="C46" s="517"/>
      <c r="D46" s="517"/>
      <c r="E46" s="517"/>
      <c r="F46" s="517"/>
    </row>
    <row r="47" spans="1:27">
      <c r="A47" s="8"/>
    </row>
    <row r="48" spans="1:27">
      <c r="A48" s="9" t="s">
        <v>1331</v>
      </c>
    </row>
    <row r="49" spans="1:11">
      <c r="C49" s="568" t="s">
        <v>1344</v>
      </c>
      <c r="D49" s="568"/>
    </row>
    <row r="50" spans="1:11" s="371" customFormat="1">
      <c r="A50" s="369" t="s">
        <v>1334</v>
      </c>
      <c r="B50" s="379" t="s">
        <v>1327</v>
      </c>
      <c r="C50" s="370" t="s">
        <v>1332</v>
      </c>
      <c r="D50" s="370" t="s">
        <v>1333</v>
      </c>
      <c r="F50" s="368"/>
      <c r="G50" s="368"/>
      <c r="H50" s="368"/>
      <c r="I50" s="368"/>
      <c r="J50" s="368"/>
      <c r="K50" s="368"/>
    </row>
    <row r="51" spans="1:11" s="371" customFormat="1">
      <c r="A51" s="383" t="s">
        <v>1335</v>
      </c>
      <c r="B51" s="380">
        <v>0.98</v>
      </c>
      <c r="C51" s="381">
        <v>0</v>
      </c>
      <c r="D51" s="382">
        <v>0.5</v>
      </c>
      <c r="F51" s="377"/>
      <c r="G51" s="368"/>
      <c r="H51" s="368"/>
      <c r="I51" s="368"/>
      <c r="J51" s="368"/>
      <c r="K51" s="368"/>
    </row>
    <row r="52" spans="1:11" s="371" customFormat="1">
      <c r="A52" s="383" t="s">
        <v>1336</v>
      </c>
      <c r="B52" s="380">
        <v>0.78</v>
      </c>
      <c r="C52" s="381">
        <v>0.50000100000000003</v>
      </c>
      <c r="D52" s="382">
        <v>1</v>
      </c>
      <c r="F52" s="368"/>
      <c r="G52" s="368"/>
      <c r="H52" s="368"/>
      <c r="I52" s="368"/>
      <c r="J52" s="368"/>
      <c r="K52" s="368"/>
    </row>
    <row r="53" spans="1:11" s="371" customFormat="1">
      <c r="A53" s="383" t="s">
        <v>1337</v>
      </c>
      <c r="B53" s="380">
        <v>0.68</v>
      </c>
      <c r="C53" s="381">
        <v>1.0000009999999999</v>
      </c>
      <c r="D53" s="382">
        <v>2</v>
      </c>
      <c r="F53" s="368"/>
      <c r="G53" s="368"/>
      <c r="H53" s="368"/>
      <c r="I53" s="368"/>
      <c r="J53" s="368"/>
      <c r="K53" s="368"/>
    </row>
    <row r="54" spans="1:11" s="371" customFormat="1">
      <c r="A54" s="383" t="s">
        <v>1338</v>
      </c>
      <c r="B54" s="380">
        <v>0.45</v>
      </c>
      <c r="C54" s="381">
        <v>2.0000010000000001</v>
      </c>
      <c r="D54" s="382">
        <v>5</v>
      </c>
      <c r="F54" s="368"/>
      <c r="G54" s="368"/>
      <c r="H54" s="368"/>
      <c r="I54" s="368"/>
      <c r="J54" s="368"/>
      <c r="K54" s="368"/>
    </row>
    <row r="55" spans="1:11" s="371" customFormat="1">
      <c r="A55" s="383" t="s">
        <v>1339</v>
      </c>
      <c r="B55" s="380">
        <v>0.42</v>
      </c>
      <c r="C55" s="381">
        <v>5.0000010000000001</v>
      </c>
      <c r="D55" s="382">
        <v>10</v>
      </c>
      <c r="F55" s="378"/>
      <c r="G55" s="378"/>
      <c r="H55" s="378"/>
      <c r="I55" s="378"/>
      <c r="J55" s="378"/>
      <c r="K55" s="378"/>
    </row>
    <row r="56" spans="1:11" s="371" customFormat="1">
      <c r="A56" s="383" t="s">
        <v>1340</v>
      </c>
      <c r="B56" s="380">
        <v>0.22</v>
      </c>
      <c r="C56" s="381">
        <v>10.000000999999999</v>
      </c>
      <c r="D56" s="382">
        <v>20</v>
      </c>
      <c r="F56" s="378"/>
      <c r="G56" s="378"/>
      <c r="H56" s="378"/>
      <c r="I56" s="378"/>
      <c r="J56" s="378"/>
      <c r="K56" s="378"/>
    </row>
    <row r="57" spans="1:11" s="371" customFormat="1">
      <c r="A57" s="384" t="s">
        <v>1341</v>
      </c>
      <c r="B57" s="380">
        <v>0.2</v>
      </c>
      <c r="C57" s="381">
        <v>20.000001000000001</v>
      </c>
      <c r="D57" s="382">
        <v>50</v>
      </c>
      <c r="F57" s="378"/>
      <c r="G57" s="378"/>
      <c r="H57" s="378"/>
      <c r="I57" s="378"/>
      <c r="J57" s="378"/>
      <c r="K57" s="378"/>
    </row>
    <row r="58" spans="1:11" s="371" customFormat="1">
      <c r="A58" s="384" t="s">
        <v>1342</v>
      </c>
      <c r="B58" s="380">
        <v>0.15</v>
      </c>
      <c r="C58" s="381">
        <v>50.000000999999997</v>
      </c>
      <c r="D58" s="382">
        <v>75</v>
      </c>
      <c r="F58" s="378"/>
      <c r="G58" s="378"/>
      <c r="H58" s="378"/>
      <c r="I58" s="378"/>
      <c r="J58" s="378"/>
      <c r="K58" s="378"/>
    </row>
    <row r="59" spans="1:11" s="371" customFormat="1">
      <c r="A59" s="384" t="s">
        <v>1343</v>
      </c>
      <c r="B59" s="380">
        <v>0.1</v>
      </c>
      <c r="C59" s="381">
        <v>75.000000999999997</v>
      </c>
      <c r="D59" s="385">
        <v>9999</v>
      </c>
      <c r="F59" s="378"/>
      <c r="G59" s="378"/>
      <c r="H59" s="378"/>
      <c r="I59" s="378"/>
      <c r="J59" s="378"/>
      <c r="K59" s="378"/>
    </row>
    <row r="60" spans="1:11">
      <c r="A60" s="366"/>
      <c r="B60" s="367"/>
      <c r="C60" s="367"/>
      <c r="D60" s="367"/>
      <c r="E60" s="367"/>
      <c r="F60" s="367"/>
      <c r="G60" s="367"/>
      <c r="H60" s="367"/>
      <c r="I60" s="367"/>
      <c r="J60" s="367"/>
      <c r="K60" s="367"/>
    </row>
    <row r="61" spans="1:11">
      <c r="A61" s="9" t="s">
        <v>1345</v>
      </c>
      <c r="B61" s="168" t="s">
        <v>1283</v>
      </c>
      <c r="C61" s="168" t="s">
        <v>1284</v>
      </c>
      <c r="D61" s="66" t="s">
        <v>1285</v>
      </c>
      <c r="E61" s="66" t="s">
        <v>1286</v>
      </c>
      <c r="F61" s="66" t="s">
        <v>1287</v>
      </c>
      <c r="G61" s="66" t="s">
        <v>1288</v>
      </c>
      <c r="H61" s="66" t="s">
        <v>1289</v>
      </c>
      <c r="I61" s="66" t="s">
        <v>1290</v>
      </c>
      <c r="J61" s="66" t="s">
        <v>1291</v>
      </c>
      <c r="K61" s="66" t="s">
        <v>1292</v>
      </c>
    </row>
    <row r="62" spans="1:11">
      <c r="A62" s="8" t="s">
        <v>1293</v>
      </c>
      <c r="B62" s="403">
        <f>B102*VLOOKUP(CONCATENATE($A62," Total"),$B$184:$W$758,C$183+12,FALSE)</f>
        <v>0</v>
      </c>
      <c r="C62" s="403">
        <f t="shared" ref="C62:K62" si="0">C102*VLOOKUP(CONCATENATE($A62," Total"),$B$184:$W$758,D$183+12,FALSE)</f>
        <v>0</v>
      </c>
      <c r="D62" s="403">
        <f t="shared" si="0"/>
        <v>0</v>
      </c>
      <c r="E62" s="403">
        <f t="shared" si="0"/>
        <v>0</v>
      </c>
      <c r="F62" s="403">
        <f t="shared" si="0"/>
        <v>0</v>
      </c>
      <c r="G62" s="403">
        <f t="shared" si="0"/>
        <v>0</v>
      </c>
      <c r="H62" s="403">
        <f t="shared" si="0"/>
        <v>0</v>
      </c>
      <c r="I62" s="403">
        <f t="shared" si="0"/>
        <v>0</v>
      </c>
      <c r="J62" s="403">
        <f t="shared" si="0"/>
        <v>0</v>
      </c>
      <c r="K62" s="403">
        <f t="shared" si="0"/>
        <v>0</v>
      </c>
    </row>
    <row r="63" spans="1:11">
      <c r="A63" s="283" t="s">
        <v>1294</v>
      </c>
      <c r="B63" s="403">
        <f t="shared" ref="B63:K63" si="1">B103*VLOOKUP(CONCATENATE($A63," Total"),$B$184:$W$758,C$183+12,FALSE)</f>
        <v>0</v>
      </c>
      <c r="C63" s="403">
        <f t="shared" si="1"/>
        <v>0</v>
      </c>
      <c r="D63" s="403">
        <f t="shared" si="1"/>
        <v>0</v>
      </c>
      <c r="E63" s="403">
        <f t="shared" si="1"/>
        <v>0</v>
      </c>
      <c r="F63" s="403">
        <f t="shared" si="1"/>
        <v>0</v>
      </c>
      <c r="G63" s="403">
        <f t="shared" si="1"/>
        <v>5.1059670800000001</v>
      </c>
      <c r="H63" s="403">
        <f t="shared" si="1"/>
        <v>4.9173198600000019</v>
      </c>
      <c r="I63" s="403">
        <f t="shared" si="1"/>
        <v>2.2042411500000001</v>
      </c>
      <c r="J63" s="403">
        <f t="shared" si="1"/>
        <v>3.3672888599999986</v>
      </c>
      <c r="K63" s="403">
        <f t="shared" si="1"/>
        <v>5.4735096399999996</v>
      </c>
    </row>
    <row r="64" spans="1:11">
      <c r="A64" s="284" t="s">
        <v>26</v>
      </c>
      <c r="B64" s="403">
        <f t="shared" ref="B64:K64" si="2">B104*VLOOKUP(CONCATENATE($A64," Total"),$B$184:$W$758,C$183+12,FALSE)</f>
        <v>0</v>
      </c>
      <c r="C64" s="403">
        <f t="shared" si="2"/>
        <v>0</v>
      </c>
      <c r="D64" s="403">
        <f t="shared" si="2"/>
        <v>0</v>
      </c>
      <c r="E64" s="403">
        <f t="shared" si="2"/>
        <v>0</v>
      </c>
      <c r="F64" s="403">
        <f t="shared" si="2"/>
        <v>22.816099999999999</v>
      </c>
      <c r="G64" s="403">
        <f t="shared" si="2"/>
        <v>29.606300000000005</v>
      </c>
      <c r="H64" s="403">
        <f t="shared" si="2"/>
        <v>32.217700000000001</v>
      </c>
      <c r="I64" s="403">
        <f t="shared" si="2"/>
        <v>35.064999999999998</v>
      </c>
      <c r="J64" s="403">
        <f t="shared" si="2"/>
        <v>37.563600000000001</v>
      </c>
      <c r="K64" s="403">
        <f t="shared" si="2"/>
        <v>35.254899999999992</v>
      </c>
    </row>
    <row r="65" spans="1:11">
      <c r="A65" s="283" t="s">
        <v>269</v>
      </c>
      <c r="B65" s="403">
        <f t="shared" ref="B65:K65" si="3">B105*VLOOKUP(CONCATENATE($A65," Total"),$B$184:$W$758,C$183+12,FALSE)</f>
        <v>0</v>
      </c>
      <c r="C65" s="403">
        <f t="shared" si="3"/>
        <v>0</v>
      </c>
      <c r="D65" s="403">
        <f t="shared" si="3"/>
        <v>0</v>
      </c>
      <c r="E65" s="403">
        <f t="shared" si="3"/>
        <v>0</v>
      </c>
      <c r="F65" s="403">
        <f t="shared" si="3"/>
        <v>0</v>
      </c>
      <c r="G65" s="403">
        <f t="shared" si="3"/>
        <v>0</v>
      </c>
      <c r="H65" s="403">
        <f t="shared" si="3"/>
        <v>0</v>
      </c>
      <c r="I65" s="403">
        <f t="shared" si="3"/>
        <v>0</v>
      </c>
      <c r="J65" s="403">
        <f t="shared" si="3"/>
        <v>0</v>
      </c>
      <c r="K65" s="403">
        <f t="shared" si="3"/>
        <v>0</v>
      </c>
    </row>
    <row r="66" spans="1:11">
      <c r="A66" s="284" t="s">
        <v>270</v>
      </c>
      <c r="B66" s="403">
        <f t="shared" ref="B66:K66" si="4">B106*VLOOKUP(CONCATENATE($A66," Total"),$B$184:$W$758,C$183+12,FALSE)</f>
        <v>0</v>
      </c>
      <c r="C66" s="403">
        <f t="shared" si="4"/>
        <v>0</v>
      </c>
      <c r="D66" s="403">
        <f t="shared" si="4"/>
        <v>0</v>
      </c>
      <c r="E66" s="403">
        <f t="shared" si="4"/>
        <v>0</v>
      </c>
      <c r="F66" s="403">
        <f t="shared" si="4"/>
        <v>0</v>
      </c>
      <c r="G66" s="403">
        <f t="shared" si="4"/>
        <v>0</v>
      </c>
      <c r="H66" s="403">
        <f t="shared" si="4"/>
        <v>0</v>
      </c>
      <c r="I66" s="403">
        <f t="shared" si="4"/>
        <v>0</v>
      </c>
      <c r="J66" s="403">
        <f t="shared" si="4"/>
        <v>0</v>
      </c>
      <c r="K66" s="403">
        <f t="shared" si="4"/>
        <v>0</v>
      </c>
    </row>
    <row r="67" spans="1:11">
      <c r="A67" s="284" t="s">
        <v>974</v>
      </c>
      <c r="B67" s="403">
        <f t="shared" ref="B67:K67" si="5">B107*VLOOKUP(CONCATENATE($A67," Total"),$B$184:$W$758,C$183+12,FALSE)</f>
        <v>0</v>
      </c>
      <c r="C67" s="403">
        <f t="shared" si="5"/>
        <v>0</v>
      </c>
      <c r="D67" s="403">
        <f t="shared" si="5"/>
        <v>0</v>
      </c>
      <c r="E67" s="403">
        <f t="shared" si="5"/>
        <v>0</v>
      </c>
      <c r="F67" s="403">
        <f t="shared" si="5"/>
        <v>0</v>
      </c>
      <c r="G67" s="403">
        <f t="shared" si="5"/>
        <v>9.85</v>
      </c>
      <c r="H67" s="403">
        <f t="shared" si="5"/>
        <v>6.8579999999999997</v>
      </c>
      <c r="I67" s="403">
        <f t="shared" si="5"/>
        <v>3.75</v>
      </c>
      <c r="J67" s="403">
        <f t="shared" si="5"/>
        <v>2.4186000000000001</v>
      </c>
      <c r="K67" s="403">
        <f t="shared" si="5"/>
        <v>1.3934000000000002</v>
      </c>
    </row>
    <row r="68" spans="1:11">
      <c r="A68" s="284" t="s">
        <v>263</v>
      </c>
      <c r="B68" s="403">
        <f t="shared" ref="B68:K68" si="6">B108*VLOOKUP(CONCATENATE($A68," Total"),$B$184:$W$758,C$183+12,FALSE)</f>
        <v>0</v>
      </c>
      <c r="C68" s="403">
        <f t="shared" si="6"/>
        <v>0</v>
      </c>
      <c r="D68" s="403">
        <f t="shared" si="6"/>
        <v>0</v>
      </c>
      <c r="E68" s="403">
        <f t="shared" si="6"/>
        <v>0</v>
      </c>
      <c r="F68" s="403">
        <f t="shared" si="6"/>
        <v>0</v>
      </c>
      <c r="G68" s="403">
        <f t="shared" si="6"/>
        <v>0</v>
      </c>
      <c r="H68" s="403">
        <f t="shared" si="6"/>
        <v>0</v>
      </c>
      <c r="I68" s="403">
        <f t="shared" si="6"/>
        <v>0</v>
      </c>
      <c r="J68" s="403">
        <f t="shared" si="6"/>
        <v>0</v>
      </c>
      <c r="K68" s="403">
        <f t="shared" si="6"/>
        <v>0</v>
      </c>
    </row>
    <row r="69" spans="1:11">
      <c r="A69" s="284" t="s">
        <v>264</v>
      </c>
      <c r="B69" s="403">
        <f t="shared" ref="B69:K69" si="7">B109*VLOOKUP(CONCATENATE($A69," Total"),$B$184:$W$758,C$183+12,FALSE)</f>
        <v>2.8650000000000002</v>
      </c>
      <c r="C69" s="403">
        <f t="shared" si="7"/>
        <v>3.2040000000000002</v>
      </c>
      <c r="D69" s="403">
        <f t="shared" si="7"/>
        <v>2.9520000000000004</v>
      </c>
      <c r="E69" s="403">
        <f t="shared" si="7"/>
        <v>5.4192</v>
      </c>
      <c r="F69" s="403">
        <f t="shared" si="7"/>
        <v>5.8987999999999996</v>
      </c>
      <c r="G69" s="403">
        <f t="shared" si="7"/>
        <v>5.56</v>
      </c>
      <c r="H69" s="403">
        <f t="shared" si="7"/>
        <v>2.1900000000000004</v>
      </c>
      <c r="I69" s="403">
        <f t="shared" si="7"/>
        <v>2.46</v>
      </c>
      <c r="J69" s="403">
        <f t="shared" si="7"/>
        <v>2.19</v>
      </c>
      <c r="K69" s="403">
        <f t="shared" si="7"/>
        <v>2.19</v>
      </c>
    </row>
    <row r="70" spans="1:11">
      <c r="A70" s="284" t="s">
        <v>51</v>
      </c>
      <c r="B70" s="403">
        <f t="shared" ref="B70:K70" si="8">B110*VLOOKUP(CONCATENATE($A70," Total"),$B$184:$W$758,C$183+12,FALSE)</f>
        <v>0</v>
      </c>
      <c r="C70" s="403">
        <f t="shared" si="8"/>
        <v>0</v>
      </c>
      <c r="D70" s="403">
        <f t="shared" si="8"/>
        <v>0</v>
      </c>
      <c r="E70" s="403">
        <f t="shared" si="8"/>
        <v>0</v>
      </c>
      <c r="F70" s="403">
        <f t="shared" si="8"/>
        <v>12.27</v>
      </c>
      <c r="G70" s="403">
        <f t="shared" si="8"/>
        <v>9.2100000000000009</v>
      </c>
      <c r="H70" s="403">
        <f t="shared" si="8"/>
        <v>7.0779999999999994</v>
      </c>
      <c r="I70" s="403">
        <f t="shared" si="8"/>
        <v>7.1</v>
      </c>
      <c r="J70" s="403">
        <f t="shared" si="8"/>
        <v>5.8020000000000005</v>
      </c>
      <c r="K70" s="403">
        <f t="shared" si="8"/>
        <v>5.0979999999999999</v>
      </c>
    </row>
    <row r="71" spans="1:11">
      <c r="A71" s="284" t="s">
        <v>33</v>
      </c>
      <c r="B71" s="403">
        <f t="shared" ref="B71:K71" si="9">B111*VLOOKUP(CONCATENATE($A71," Total"),$B$184:$W$758,C$183+12,FALSE)</f>
        <v>0</v>
      </c>
      <c r="C71" s="403">
        <f t="shared" si="9"/>
        <v>0</v>
      </c>
      <c r="D71" s="403">
        <f t="shared" si="9"/>
        <v>0</v>
      </c>
      <c r="E71" s="403">
        <f t="shared" si="9"/>
        <v>0</v>
      </c>
      <c r="F71" s="403">
        <f t="shared" si="9"/>
        <v>0</v>
      </c>
      <c r="G71" s="403">
        <f t="shared" si="9"/>
        <v>0</v>
      </c>
      <c r="H71" s="403">
        <f t="shared" si="9"/>
        <v>0</v>
      </c>
      <c r="I71" s="403">
        <f t="shared" si="9"/>
        <v>0</v>
      </c>
      <c r="J71" s="403">
        <f t="shared" si="9"/>
        <v>0</v>
      </c>
      <c r="K71" s="403">
        <f t="shared" si="9"/>
        <v>0</v>
      </c>
    </row>
    <row r="72" spans="1:11">
      <c r="A72" s="284" t="s">
        <v>425</v>
      </c>
      <c r="B72" s="403">
        <f t="shared" ref="B72:K72" si="10">B112*VLOOKUP(CONCATENATE($A72," Total"),$B$184:$W$758,C$183+12,FALSE)</f>
        <v>0</v>
      </c>
      <c r="C72" s="403">
        <f t="shared" si="10"/>
        <v>0</v>
      </c>
      <c r="D72" s="403">
        <f t="shared" si="10"/>
        <v>0</v>
      </c>
      <c r="E72" s="403">
        <f t="shared" si="10"/>
        <v>0</v>
      </c>
      <c r="F72" s="403">
        <f t="shared" si="10"/>
        <v>4.0440000000000005</v>
      </c>
      <c r="G72" s="403">
        <f t="shared" si="10"/>
        <v>4.2119999999999997</v>
      </c>
      <c r="H72" s="403">
        <f t="shared" si="10"/>
        <v>4.4639999999999995</v>
      </c>
      <c r="I72" s="403">
        <f t="shared" si="10"/>
        <v>4.5060000000000002</v>
      </c>
      <c r="J72" s="403">
        <f t="shared" si="10"/>
        <v>4.17</v>
      </c>
      <c r="K72" s="403">
        <f t="shared" si="10"/>
        <v>3.8759999999999994</v>
      </c>
    </row>
    <row r="73" spans="1:11">
      <c r="A73" s="284" t="s">
        <v>45</v>
      </c>
      <c r="B73" s="403">
        <f t="shared" ref="B73:K73" si="11">B113*VLOOKUP(CONCATENATE($A73," Total"),$B$184:$W$758,C$183+12,FALSE)</f>
        <v>0</v>
      </c>
      <c r="C73" s="403">
        <f t="shared" si="11"/>
        <v>0</v>
      </c>
      <c r="D73" s="403">
        <f t="shared" si="11"/>
        <v>0</v>
      </c>
      <c r="E73" s="403">
        <f t="shared" si="11"/>
        <v>0</v>
      </c>
      <c r="F73" s="403">
        <f t="shared" si="11"/>
        <v>0</v>
      </c>
      <c r="G73" s="403">
        <f t="shared" si="11"/>
        <v>0</v>
      </c>
      <c r="H73" s="403">
        <f t="shared" si="11"/>
        <v>0</v>
      </c>
      <c r="I73" s="403">
        <f t="shared" si="11"/>
        <v>0</v>
      </c>
      <c r="J73" s="403">
        <f t="shared" si="11"/>
        <v>0</v>
      </c>
      <c r="K73" s="403">
        <f t="shared" si="11"/>
        <v>0</v>
      </c>
    </row>
    <row r="74" spans="1:11">
      <c r="A74" s="284" t="s">
        <v>927</v>
      </c>
      <c r="B74" s="403">
        <f t="shared" ref="B74:K74" si="12">B114*VLOOKUP(CONCATENATE($A74," Total"),$B$184:$W$758,C$183+12,FALSE)</f>
        <v>17.510000000000002</v>
      </c>
      <c r="C74" s="403">
        <f t="shared" si="12"/>
        <v>19.54</v>
      </c>
      <c r="D74" s="403">
        <f t="shared" si="12"/>
        <v>21.25</v>
      </c>
      <c r="E74" s="403">
        <f t="shared" si="12"/>
        <v>21.130000000000003</v>
      </c>
      <c r="F74" s="403">
        <f t="shared" si="12"/>
        <v>18.2772389</v>
      </c>
      <c r="G74" s="403">
        <f t="shared" si="12"/>
        <v>14.191406200000001</v>
      </c>
      <c r="H74" s="403">
        <f t="shared" si="12"/>
        <v>16.367526700000003</v>
      </c>
      <c r="I74" s="403">
        <f t="shared" si="12"/>
        <v>17.5309177</v>
      </c>
      <c r="J74" s="403">
        <f t="shared" si="12"/>
        <v>17.2483529</v>
      </c>
      <c r="K74" s="403">
        <f t="shared" si="12"/>
        <v>16.450914400000002</v>
      </c>
    </row>
    <row r="75" spans="1:11">
      <c r="A75" s="284" t="s">
        <v>56</v>
      </c>
      <c r="B75" s="403">
        <f t="shared" ref="B75:K75" si="13">B115*VLOOKUP(CONCATENATE($A75," Total"),$B$184:$W$758,C$183+12,FALSE)</f>
        <v>0</v>
      </c>
      <c r="C75" s="403">
        <f t="shared" si="13"/>
        <v>0</v>
      </c>
      <c r="D75" s="403">
        <f t="shared" si="13"/>
        <v>0</v>
      </c>
      <c r="E75" s="403">
        <f t="shared" si="13"/>
        <v>0</v>
      </c>
      <c r="F75" s="403">
        <f t="shared" si="13"/>
        <v>0</v>
      </c>
      <c r="G75" s="403">
        <f t="shared" si="13"/>
        <v>0</v>
      </c>
      <c r="H75" s="403">
        <f t="shared" si="13"/>
        <v>0</v>
      </c>
      <c r="I75" s="403">
        <f t="shared" si="13"/>
        <v>0</v>
      </c>
      <c r="J75" s="403">
        <f t="shared" si="13"/>
        <v>0</v>
      </c>
      <c r="K75" s="403">
        <f t="shared" si="13"/>
        <v>0</v>
      </c>
    </row>
    <row r="76" spans="1:11">
      <c r="A76" s="284" t="s">
        <v>54</v>
      </c>
      <c r="B76" s="403">
        <f t="shared" ref="B76:K76" si="14">B116*VLOOKUP(CONCATENATE($A76," Total"),$B$184:$W$758,C$183+12,FALSE)</f>
        <v>53.17</v>
      </c>
      <c r="C76" s="403">
        <f t="shared" si="14"/>
        <v>0</v>
      </c>
      <c r="D76" s="403">
        <f t="shared" si="14"/>
        <v>52.64</v>
      </c>
      <c r="E76" s="403">
        <f t="shared" si="14"/>
        <v>54.76</v>
      </c>
      <c r="F76" s="403">
        <f t="shared" si="14"/>
        <v>51.17</v>
      </c>
      <c r="G76" s="403">
        <f t="shared" si="14"/>
        <v>43.103951900000006</v>
      </c>
      <c r="H76" s="403">
        <f t="shared" si="14"/>
        <v>35.145342499999998</v>
      </c>
      <c r="I76" s="403">
        <f t="shared" si="14"/>
        <v>29.632779000000006</v>
      </c>
      <c r="J76" s="403">
        <f t="shared" si="14"/>
        <v>21.983004106599999</v>
      </c>
      <c r="K76" s="403">
        <f t="shared" si="14"/>
        <v>13.519460950000001</v>
      </c>
    </row>
    <row r="77" spans="1:11">
      <c r="A77" s="284" t="s">
        <v>1295</v>
      </c>
      <c r="B77" s="403">
        <f t="shared" ref="B77:K77" si="15">B117*VLOOKUP(CONCATENATE($A77," Total"),$B$184:$W$758,C$183+12,FALSE)</f>
        <v>2.0100000000000002</v>
      </c>
      <c r="C77" s="403">
        <f t="shared" si="15"/>
        <v>0.19600000000000001</v>
      </c>
      <c r="D77" s="403">
        <f t="shared" si="15"/>
        <v>0</v>
      </c>
      <c r="E77" s="403">
        <f t="shared" si="15"/>
        <v>0</v>
      </c>
      <c r="F77" s="403">
        <f t="shared" si="15"/>
        <v>0</v>
      </c>
      <c r="G77" s="403">
        <f t="shared" si="15"/>
        <v>0</v>
      </c>
      <c r="H77" s="403">
        <f t="shared" si="15"/>
        <v>0</v>
      </c>
      <c r="I77" s="403">
        <f t="shared" si="15"/>
        <v>0</v>
      </c>
      <c r="J77" s="403">
        <f t="shared" si="15"/>
        <v>0</v>
      </c>
      <c r="K77" s="403">
        <f t="shared" si="15"/>
        <v>0</v>
      </c>
    </row>
    <row r="78" spans="1:11">
      <c r="A78" s="284" t="s">
        <v>50</v>
      </c>
      <c r="B78" s="403">
        <f t="shared" ref="B78:K78" si="16">B118*VLOOKUP(CONCATENATE($A78," Total"),$B$184:$W$758,C$183+12,FALSE)</f>
        <v>0</v>
      </c>
      <c r="C78" s="403">
        <f t="shared" si="16"/>
        <v>0</v>
      </c>
      <c r="D78" s="403">
        <f t="shared" si="16"/>
        <v>0</v>
      </c>
      <c r="E78" s="403">
        <f t="shared" si="16"/>
        <v>0</v>
      </c>
      <c r="F78" s="403">
        <f t="shared" si="16"/>
        <v>0</v>
      </c>
      <c r="G78" s="403">
        <f t="shared" si="16"/>
        <v>9.09</v>
      </c>
      <c r="H78" s="403">
        <f t="shared" si="16"/>
        <v>6.3079999999999998</v>
      </c>
      <c r="I78" s="403">
        <f t="shared" si="16"/>
        <v>0</v>
      </c>
      <c r="J78" s="403">
        <f t="shared" si="16"/>
        <v>0</v>
      </c>
      <c r="K78" s="403">
        <f t="shared" si="16"/>
        <v>0</v>
      </c>
    </row>
    <row r="79" spans="1:11">
      <c r="A79" s="284" t="s">
        <v>265</v>
      </c>
      <c r="B79" s="403">
        <f t="shared" ref="B79:K79" si="17">B119*VLOOKUP(CONCATENATE($A79," Total"),$B$184:$W$758,C$183+12,FALSE)</f>
        <v>0</v>
      </c>
      <c r="C79" s="403">
        <f t="shared" si="17"/>
        <v>0</v>
      </c>
      <c r="D79" s="403">
        <f t="shared" si="17"/>
        <v>2.415</v>
      </c>
      <c r="E79" s="403">
        <f t="shared" si="17"/>
        <v>2.5499999999999998</v>
      </c>
      <c r="F79" s="403">
        <f t="shared" si="17"/>
        <v>2.5724999999999998</v>
      </c>
      <c r="G79" s="403">
        <f t="shared" si="17"/>
        <v>2.145</v>
      </c>
      <c r="H79" s="403">
        <f t="shared" si="17"/>
        <v>0.9820000000000001</v>
      </c>
      <c r="I79" s="403">
        <f t="shared" si="17"/>
        <v>0</v>
      </c>
      <c r="J79" s="403">
        <f t="shared" si="17"/>
        <v>0</v>
      </c>
      <c r="K79" s="403">
        <f t="shared" si="17"/>
        <v>0</v>
      </c>
    </row>
    <row r="80" spans="1:11">
      <c r="A80" s="284" t="s">
        <v>961</v>
      </c>
      <c r="B80" s="403">
        <f t="shared" ref="B80:K80" si="18">B120*VLOOKUP(CONCATENATE($A80," Total"),$B$184:$W$758,C$183+12,FALSE)</f>
        <v>0</v>
      </c>
      <c r="C80" s="403">
        <f t="shared" si="18"/>
        <v>0</v>
      </c>
      <c r="D80" s="403">
        <f t="shared" si="18"/>
        <v>0</v>
      </c>
      <c r="E80" s="403">
        <f t="shared" si="18"/>
        <v>0</v>
      </c>
      <c r="F80" s="403">
        <f t="shared" si="18"/>
        <v>0</v>
      </c>
      <c r="G80" s="403">
        <f t="shared" si="18"/>
        <v>0</v>
      </c>
      <c r="H80" s="403">
        <f t="shared" si="18"/>
        <v>0</v>
      </c>
      <c r="I80" s="403">
        <f t="shared" si="18"/>
        <v>0</v>
      </c>
      <c r="J80" s="403">
        <f t="shared" si="18"/>
        <v>0</v>
      </c>
      <c r="K80" s="403">
        <f t="shared" si="18"/>
        <v>0</v>
      </c>
    </row>
    <row r="81" spans="1:11">
      <c r="A81" s="284" t="s">
        <v>1296</v>
      </c>
      <c r="B81" s="403">
        <f t="shared" ref="B81:K81" si="19">B121*VLOOKUP(CONCATENATE($A81," Total"),$B$184:$W$758,C$183+12,FALSE)</f>
        <v>0</v>
      </c>
      <c r="C81" s="403">
        <f t="shared" si="19"/>
        <v>0</v>
      </c>
      <c r="D81" s="403">
        <f t="shared" si="19"/>
        <v>0</v>
      </c>
      <c r="E81" s="403">
        <f t="shared" si="19"/>
        <v>0</v>
      </c>
      <c r="F81" s="403">
        <f t="shared" si="19"/>
        <v>0</v>
      </c>
      <c r="G81" s="403">
        <f t="shared" si="19"/>
        <v>0</v>
      </c>
      <c r="H81" s="403">
        <f t="shared" si="19"/>
        <v>0</v>
      </c>
      <c r="I81" s="403">
        <f t="shared" si="19"/>
        <v>0</v>
      </c>
      <c r="J81" s="403">
        <f t="shared" si="19"/>
        <v>0</v>
      </c>
      <c r="K81" s="403">
        <f t="shared" si="19"/>
        <v>0</v>
      </c>
    </row>
    <row r="82" spans="1:11">
      <c r="A82" s="284" t="s">
        <v>266</v>
      </c>
      <c r="B82" s="403">
        <f t="shared" ref="B82:K82" si="20">B122*VLOOKUP(CONCATENATE($A82," Total"),$B$184:$W$758,C$183+12,FALSE)</f>
        <v>4.5479999999999992</v>
      </c>
      <c r="C82" s="403">
        <f t="shared" si="20"/>
        <v>3.8340000000000005</v>
      </c>
      <c r="D82" s="403">
        <f t="shared" si="20"/>
        <v>3.2838000000000003</v>
      </c>
      <c r="E82" s="403">
        <f t="shared" si="20"/>
        <v>2.7480000000000002</v>
      </c>
      <c r="F82" s="403">
        <f t="shared" si="20"/>
        <v>2.0122499999999999</v>
      </c>
      <c r="G82" s="403">
        <f t="shared" si="20"/>
        <v>1.8750000000000002</v>
      </c>
      <c r="H82" s="403">
        <f t="shared" si="20"/>
        <v>1.65</v>
      </c>
      <c r="I82" s="403">
        <f t="shared" si="20"/>
        <v>0.29400000000000004</v>
      </c>
      <c r="J82" s="403">
        <f t="shared" si="20"/>
        <v>0</v>
      </c>
      <c r="K82" s="403">
        <f t="shared" si="20"/>
        <v>0</v>
      </c>
    </row>
    <row r="83" spans="1:11">
      <c r="A83" s="284" t="s">
        <v>268</v>
      </c>
      <c r="B83" s="403">
        <f t="shared" ref="B83:K83" si="21">B123*VLOOKUP(CONCATENATE($A83," Total"),$B$184:$W$758,C$183+12,FALSE)</f>
        <v>0</v>
      </c>
      <c r="C83" s="403">
        <f t="shared" si="21"/>
        <v>0</v>
      </c>
      <c r="D83" s="403">
        <f t="shared" si="21"/>
        <v>0</v>
      </c>
      <c r="E83" s="403">
        <f t="shared" si="21"/>
        <v>0</v>
      </c>
      <c r="F83" s="403">
        <f t="shared" si="21"/>
        <v>5.56264</v>
      </c>
      <c r="G83" s="403">
        <f t="shared" si="21"/>
        <v>4.1670600000000002</v>
      </c>
      <c r="H83" s="403">
        <f t="shared" si="21"/>
        <v>2.7633000000000001</v>
      </c>
      <c r="I83" s="403">
        <f t="shared" si="21"/>
        <v>2.3758499999999998</v>
      </c>
      <c r="J83" s="403">
        <f t="shared" si="21"/>
        <v>0</v>
      </c>
      <c r="K83" s="403">
        <f t="shared" si="21"/>
        <v>0</v>
      </c>
    </row>
    <row r="84" spans="1:11">
      <c r="A84" s="284" t="s">
        <v>1297</v>
      </c>
      <c r="B84" s="403">
        <f t="shared" ref="B84:K84" si="22">B124*VLOOKUP(CONCATENATE($A84," Total"),$B$184:$W$758,C$183+12,FALSE)</f>
        <v>0</v>
      </c>
      <c r="C84" s="403">
        <f t="shared" si="22"/>
        <v>0</v>
      </c>
      <c r="D84" s="403">
        <f t="shared" si="22"/>
        <v>0</v>
      </c>
      <c r="E84" s="403">
        <f t="shared" si="22"/>
        <v>0</v>
      </c>
      <c r="F84" s="403">
        <f t="shared" si="22"/>
        <v>0</v>
      </c>
      <c r="G84" s="403">
        <f t="shared" si="22"/>
        <v>0</v>
      </c>
      <c r="H84" s="403">
        <f t="shared" si="22"/>
        <v>0</v>
      </c>
      <c r="I84" s="403">
        <f t="shared" si="22"/>
        <v>0</v>
      </c>
      <c r="J84" s="403">
        <f t="shared" si="22"/>
        <v>0</v>
      </c>
      <c r="K84" s="403">
        <f t="shared" si="22"/>
        <v>0</v>
      </c>
    </row>
    <row r="85" spans="1:11">
      <c r="A85" s="284" t="s">
        <v>25</v>
      </c>
      <c r="B85" s="403">
        <f t="shared" ref="B85:K85" si="23">B125*VLOOKUP(CONCATENATE($A85," Total"),$B$184:$W$758,C$183+12,FALSE)</f>
        <v>0</v>
      </c>
      <c r="C85" s="403">
        <f t="shared" si="23"/>
        <v>0</v>
      </c>
      <c r="D85" s="403">
        <f t="shared" si="23"/>
        <v>0</v>
      </c>
      <c r="E85" s="403">
        <f t="shared" si="23"/>
        <v>0</v>
      </c>
      <c r="F85" s="403">
        <f t="shared" si="23"/>
        <v>0</v>
      </c>
      <c r="G85" s="403">
        <f t="shared" si="23"/>
        <v>0</v>
      </c>
      <c r="H85" s="403">
        <f t="shared" si="23"/>
        <v>0</v>
      </c>
      <c r="I85" s="403">
        <f t="shared" si="23"/>
        <v>0</v>
      </c>
      <c r="J85" s="403">
        <f t="shared" si="23"/>
        <v>0</v>
      </c>
      <c r="K85" s="403">
        <f t="shared" si="23"/>
        <v>0</v>
      </c>
    </row>
    <row r="86" spans="1:11">
      <c r="A86" s="284" t="s">
        <v>1298</v>
      </c>
      <c r="B86" s="403">
        <f t="shared" ref="B86:K86" si="24">B126*VLOOKUP(CONCATENATE($A86," Total"),$B$184:$W$758,C$183+12,FALSE)</f>
        <v>3.9180000000000001</v>
      </c>
      <c r="C86" s="403">
        <f t="shared" si="24"/>
        <v>1.56</v>
      </c>
      <c r="D86" s="403">
        <f t="shared" si="24"/>
        <v>0</v>
      </c>
      <c r="E86" s="403">
        <f t="shared" si="24"/>
        <v>0</v>
      </c>
      <c r="F86" s="403">
        <f t="shared" si="24"/>
        <v>0</v>
      </c>
      <c r="G86" s="403">
        <f t="shared" si="24"/>
        <v>0</v>
      </c>
      <c r="H86" s="403">
        <f t="shared" si="24"/>
        <v>0</v>
      </c>
      <c r="I86" s="403">
        <f t="shared" si="24"/>
        <v>0</v>
      </c>
      <c r="J86" s="403">
        <f t="shared" si="24"/>
        <v>0</v>
      </c>
      <c r="K86" s="403">
        <f t="shared" si="24"/>
        <v>0</v>
      </c>
    </row>
    <row r="87" spans="1:11">
      <c r="A87" s="284" t="s">
        <v>1299</v>
      </c>
      <c r="B87" s="403">
        <f t="shared" ref="B87:K87" si="25">B127*VLOOKUP(CONCATENATE($A87," Total"),$B$184:$W$758,C$183+12,FALSE)</f>
        <v>6.5279999999999996</v>
      </c>
      <c r="C87" s="403">
        <f t="shared" si="25"/>
        <v>5.3620000000000001</v>
      </c>
      <c r="D87" s="403">
        <f t="shared" si="25"/>
        <v>4.968</v>
      </c>
      <c r="E87" s="403">
        <f t="shared" si="25"/>
        <v>5.2013999999999996</v>
      </c>
      <c r="F87" s="403">
        <f t="shared" si="25"/>
        <v>4.1658000000000008</v>
      </c>
      <c r="G87" s="403">
        <f t="shared" si="25"/>
        <v>3.3719999999999999</v>
      </c>
      <c r="H87" s="403">
        <f t="shared" si="25"/>
        <v>3.33</v>
      </c>
      <c r="I87" s="403">
        <f t="shared" si="25"/>
        <v>3.12</v>
      </c>
      <c r="J87" s="403">
        <f t="shared" si="25"/>
        <v>2.5500000000000003</v>
      </c>
      <c r="K87" s="403">
        <f t="shared" si="25"/>
        <v>2.0550000000000002</v>
      </c>
    </row>
    <row r="88" spans="1:11">
      <c r="A88" s="284" t="s">
        <v>1300</v>
      </c>
      <c r="B88" s="403">
        <f t="shared" ref="B88:K88" si="26">B128*VLOOKUP(CONCATENATE($A88," Total"),$B$184:$W$758,C$183+12,FALSE)</f>
        <v>19.8</v>
      </c>
      <c r="C88" s="403">
        <f t="shared" si="26"/>
        <v>18.955000000000002</v>
      </c>
      <c r="D88" s="403">
        <f t="shared" si="26"/>
        <v>14.305</v>
      </c>
      <c r="E88" s="403">
        <f t="shared" si="26"/>
        <v>11.830000000000002</v>
      </c>
      <c r="F88" s="403">
        <f t="shared" si="26"/>
        <v>10.050000000000001</v>
      </c>
      <c r="G88" s="403">
        <f t="shared" si="26"/>
        <v>9.41</v>
      </c>
      <c r="H88" s="403">
        <f t="shared" si="26"/>
        <v>10.89</v>
      </c>
      <c r="I88" s="403">
        <f t="shared" si="26"/>
        <v>11.21</v>
      </c>
      <c r="J88" s="403">
        <f t="shared" si="26"/>
        <v>9.09</v>
      </c>
      <c r="K88" s="403">
        <f t="shared" si="26"/>
        <v>6.1319999999999997</v>
      </c>
    </row>
    <row r="89" spans="1:11">
      <c r="A89" s="284" t="s">
        <v>1301</v>
      </c>
      <c r="B89" s="403">
        <f t="shared" ref="B89:K89" si="27">B129*VLOOKUP(CONCATENATE($A89," Total"),$B$184:$W$758,C$183+12,FALSE)</f>
        <v>0</v>
      </c>
      <c r="C89" s="403">
        <f t="shared" si="27"/>
        <v>0</v>
      </c>
      <c r="D89" s="403">
        <f t="shared" si="27"/>
        <v>0</v>
      </c>
      <c r="E89" s="403">
        <f t="shared" si="27"/>
        <v>0</v>
      </c>
      <c r="F89" s="403">
        <f t="shared" si="27"/>
        <v>0</v>
      </c>
      <c r="G89" s="403">
        <f t="shared" si="27"/>
        <v>0</v>
      </c>
      <c r="H89" s="403">
        <f t="shared" si="27"/>
        <v>0</v>
      </c>
      <c r="I89" s="403">
        <f t="shared" si="27"/>
        <v>0</v>
      </c>
      <c r="J89" s="403">
        <f t="shared" si="27"/>
        <v>0</v>
      </c>
      <c r="K89" s="403">
        <f t="shared" si="27"/>
        <v>0</v>
      </c>
    </row>
    <row r="90" spans="1:11">
      <c r="A90" s="284" t="s">
        <v>257</v>
      </c>
      <c r="B90" s="403">
        <f t="shared" ref="B90:K90" si="28">B130*VLOOKUP(CONCATENATE($A90," Total"),$B$184:$W$758,C$183+12,FALSE)</f>
        <v>0</v>
      </c>
      <c r="C90" s="403">
        <f t="shared" si="28"/>
        <v>0</v>
      </c>
      <c r="D90" s="403">
        <f t="shared" si="28"/>
        <v>0</v>
      </c>
      <c r="E90" s="403">
        <f t="shared" si="28"/>
        <v>0</v>
      </c>
      <c r="F90" s="403">
        <f t="shared" si="28"/>
        <v>0</v>
      </c>
      <c r="G90" s="403">
        <f t="shared" si="28"/>
        <v>0</v>
      </c>
      <c r="H90" s="403">
        <f t="shared" si="28"/>
        <v>0</v>
      </c>
      <c r="I90" s="403">
        <f t="shared" si="28"/>
        <v>0</v>
      </c>
      <c r="J90" s="403">
        <f t="shared" si="28"/>
        <v>0</v>
      </c>
      <c r="K90" s="403">
        <f t="shared" si="28"/>
        <v>0</v>
      </c>
    </row>
    <row r="91" spans="1:11">
      <c r="A91" s="284" t="s">
        <v>1302</v>
      </c>
      <c r="B91" s="403">
        <f t="shared" ref="B91:K91" si="29">B131*VLOOKUP(CONCATENATE($A91," Total"),$B$184:$W$758,C$183+12,FALSE)</f>
        <v>0</v>
      </c>
      <c r="C91" s="403">
        <f t="shared" si="29"/>
        <v>0</v>
      </c>
      <c r="D91" s="403">
        <f t="shared" si="29"/>
        <v>0</v>
      </c>
      <c r="E91" s="403">
        <f t="shared" si="29"/>
        <v>0</v>
      </c>
      <c r="F91" s="403">
        <f t="shared" si="29"/>
        <v>0</v>
      </c>
      <c r="G91" s="403">
        <f t="shared" si="29"/>
        <v>0</v>
      </c>
      <c r="H91" s="403">
        <f t="shared" si="29"/>
        <v>0</v>
      </c>
      <c r="I91" s="403">
        <f t="shared" si="29"/>
        <v>0</v>
      </c>
      <c r="J91" s="403">
        <f t="shared" si="29"/>
        <v>0</v>
      </c>
      <c r="K91" s="403">
        <f t="shared" si="29"/>
        <v>0</v>
      </c>
    </row>
    <row r="92" spans="1:11">
      <c r="A92" s="284" t="s">
        <v>255</v>
      </c>
      <c r="B92" s="403">
        <f t="shared" ref="B92:K92" si="30">B132*VLOOKUP(CONCATENATE($A92," Total"),$B$184:$W$758,C$183+12,FALSE)</f>
        <v>0</v>
      </c>
      <c r="C92" s="403">
        <f t="shared" si="30"/>
        <v>0</v>
      </c>
      <c r="D92" s="403">
        <f t="shared" si="30"/>
        <v>0</v>
      </c>
      <c r="E92" s="403">
        <f t="shared" si="30"/>
        <v>0</v>
      </c>
      <c r="F92" s="403">
        <f t="shared" si="30"/>
        <v>0</v>
      </c>
      <c r="G92" s="403">
        <f t="shared" si="30"/>
        <v>0</v>
      </c>
      <c r="H92" s="403">
        <f t="shared" si="30"/>
        <v>0</v>
      </c>
      <c r="I92" s="403">
        <f t="shared" si="30"/>
        <v>0</v>
      </c>
      <c r="J92" s="403">
        <f t="shared" si="30"/>
        <v>0</v>
      </c>
      <c r="K92" s="403">
        <f t="shared" si="30"/>
        <v>0</v>
      </c>
    </row>
    <row r="93" spans="1:11">
      <c r="A93" s="284" t="s">
        <v>1303</v>
      </c>
      <c r="B93" s="403">
        <f t="shared" ref="B93:K93" si="31">B133*VLOOKUP(CONCATENATE($A93," Total"),$B$184:$W$758,C$183+12,FALSE)</f>
        <v>0</v>
      </c>
      <c r="C93" s="403">
        <f t="shared" si="31"/>
        <v>0</v>
      </c>
      <c r="D93" s="403">
        <f t="shared" si="31"/>
        <v>0</v>
      </c>
      <c r="E93" s="403">
        <f t="shared" si="31"/>
        <v>0</v>
      </c>
      <c r="F93" s="403">
        <f t="shared" si="31"/>
        <v>0</v>
      </c>
      <c r="G93" s="403">
        <f t="shared" si="31"/>
        <v>0</v>
      </c>
      <c r="H93" s="403">
        <f t="shared" si="31"/>
        <v>0</v>
      </c>
      <c r="I93" s="403">
        <f t="shared" si="31"/>
        <v>0</v>
      </c>
      <c r="J93" s="403">
        <f t="shared" si="31"/>
        <v>0</v>
      </c>
      <c r="K93" s="403">
        <f t="shared" si="31"/>
        <v>0</v>
      </c>
    </row>
    <row r="94" spans="1:11">
      <c r="A94" s="284" t="s">
        <v>58</v>
      </c>
      <c r="B94" s="403">
        <f t="shared" ref="B94:K94" si="32">B134*VLOOKUP(CONCATENATE($A94," Total"),$B$184:$W$758,C$183+12,FALSE)</f>
        <v>0</v>
      </c>
      <c r="C94" s="403">
        <f t="shared" si="32"/>
        <v>0</v>
      </c>
      <c r="D94" s="403">
        <f t="shared" si="32"/>
        <v>0</v>
      </c>
      <c r="E94" s="403">
        <f t="shared" si="32"/>
        <v>0</v>
      </c>
      <c r="F94" s="403">
        <f t="shared" si="32"/>
        <v>0</v>
      </c>
      <c r="G94" s="403">
        <f t="shared" si="32"/>
        <v>0</v>
      </c>
      <c r="H94" s="403">
        <f t="shared" si="32"/>
        <v>0</v>
      </c>
      <c r="I94" s="403">
        <f t="shared" si="32"/>
        <v>0</v>
      </c>
      <c r="J94" s="403">
        <f t="shared" si="32"/>
        <v>0</v>
      </c>
      <c r="K94" s="403">
        <f t="shared" si="32"/>
        <v>0</v>
      </c>
    </row>
    <row r="95" spans="1:11">
      <c r="A95" s="284" t="s">
        <v>29</v>
      </c>
      <c r="B95" s="403">
        <f t="shared" ref="B95:K95" si="33">B135*VLOOKUP(CONCATENATE($A95," Total"),$B$184:$W$758,C$183+12,FALSE)</f>
        <v>0</v>
      </c>
      <c r="C95" s="403">
        <f t="shared" si="33"/>
        <v>0</v>
      </c>
      <c r="D95" s="403">
        <f t="shared" si="33"/>
        <v>0</v>
      </c>
      <c r="E95" s="403">
        <f t="shared" si="33"/>
        <v>0</v>
      </c>
      <c r="F95" s="403">
        <f t="shared" si="33"/>
        <v>0</v>
      </c>
      <c r="G95" s="403">
        <f t="shared" si="33"/>
        <v>0</v>
      </c>
      <c r="H95" s="403">
        <f t="shared" si="33"/>
        <v>0</v>
      </c>
      <c r="I95" s="403">
        <f t="shared" si="33"/>
        <v>0</v>
      </c>
      <c r="J95" s="403">
        <f t="shared" si="33"/>
        <v>0</v>
      </c>
      <c r="K95" s="403">
        <f t="shared" si="33"/>
        <v>0</v>
      </c>
    </row>
    <row r="96" spans="1:11">
      <c r="A96" s="284" t="s">
        <v>1304</v>
      </c>
      <c r="B96" s="403">
        <f t="shared" ref="B96:K96" si="34">B136*VLOOKUP(CONCATENATE($A96," Total"),$B$184:$W$758,C$183+12,FALSE)</f>
        <v>6.0750000000000011</v>
      </c>
      <c r="C96" s="403">
        <f t="shared" si="34"/>
        <v>5.4849999999999994</v>
      </c>
      <c r="D96" s="403">
        <f t="shared" si="34"/>
        <v>6.085</v>
      </c>
      <c r="E96" s="403">
        <f t="shared" si="34"/>
        <v>10.605</v>
      </c>
      <c r="F96" s="403">
        <f t="shared" si="34"/>
        <v>14.111876429237281</v>
      </c>
      <c r="G96" s="403">
        <f t="shared" si="34"/>
        <v>15.247558099183575</v>
      </c>
      <c r="H96" s="403">
        <f t="shared" si="34"/>
        <v>20.258484619961656</v>
      </c>
      <c r="I96" s="403">
        <f t="shared" si="34"/>
        <v>10.855713603900698</v>
      </c>
      <c r="J96" s="403">
        <f t="shared" si="34"/>
        <v>12.415000000000003</v>
      </c>
      <c r="K96" s="403">
        <f t="shared" si="34"/>
        <v>11.465</v>
      </c>
    </row>
    <row r="97" spans="1:11">
      <c r="A97" s="284" t="s">
        <v>28</v>
      </c>
      <c r="B97" s="403">
        <f t="shared" ref="B97:K97" si="35">B137*VLOOKUP(CONCATENATE($A97," Total"),$B$184:$W$758,C$183+12,FALSE)</f>
        <v>2.1899999999999942</v>
      </c>
      <c r="C97" s="403">
        <f t="shared" si="35"/>
        <v>2.8844999999999898</v>
      </c>
      <c r="D97" s="403">
        <f t="shared" si="35"/>
        <v>3.1430000000000038</v>
      </c>
      <c r="E97" s="403">
        <f t="shared" si="35"/>
        <v>4.0754909000000081</v>
      </c>
      <c r="F97" s="403">
        <f t="shared" si="35"/>
        <v>5.9781773967721641</v>
      </c>
      <c r="G97" s="403">
        <f t="shared" si="35"/>
        <v>8.2037110249999881</v>
      </c>
      <c r="H97" s="403">
        <f t="shared" si="35"/>
        <v>10.322497000000014</v>
      </c>
      <c r="I97" s="403">
        <f t="shared" si="35"/>
        <v>14.451678199999982</v>
      </c>
      <c r="J97" s="403">
        <f t="shared" si="35"/>
        <v>15.980523879425382</v>
      </c>
      <c r="K97" s="403">
        <f t="shared" si="35"/>
        <v>16.717986599999982</v>
      </c>
    </row>
    <row r="98" spans="1:11">
      <c r="A98" s="404" t="s">
        <v>30</v>
      </c>
      <c r="B98" s="117">
        <f>SUM(B62:B97)</f>
        <v>118.61400000000002</v>
      </c>
      <c r="C98" s="117">
        <f t="shared" ref="C98:K98" si="36">SUM(C62:C97)</f>
        <v>61.020499999999984</v>
      </c>
      <c r="D98" s="117">
        <f t="shared" si="36"/>
        <v>111.04180000000001</v>
      </c>
      <c r="E98" s="117">
        <f t="shared" si="36"/>
        <v>118.31909090000002</v>
      </c>
      <c r="F98" s="117">
        <f t="shared" si="36"/>
        <v>158.92938272600944</v>
      </c>
      <c r="G98" s="117">
        <f t="shared" si="36"/>
        <v>174.34995430418357</v>
      </c>
      <c r="H98" s="117">
        <f t="shared" si="36"/>
        <v>165.74217067996165</v>
      </c>
      <c r="I98" s="117">
        <f t="shared" si="36"/>
        <v>144.5561796539007</v>
      </c>
      <c r="J98" s="117">
        <f t="shared" si="36"/>
        <v>134.77836974602539</v>
      </c>
      <c r="K98" s="117">
        <f t="shared" si="36"/>
        <v>119.62617158999998</v>
      </c>
    </row>
    <row r="99" spans="1:11">
      <c r="B99" s="405"/>
      <c r="C99" s="405"/>
      <c r="D99" s="405"/>
      <c r="E99" s="405"/>
      <c r="F99" s="405"/>
      <c r="G99" s="405"/>
      <c r="H99" s="405"/>
      <c r="I99" s="405"/>
      <c r="J99" s="405"/>
      <c r="K99" s="405"/>
    </row>
    <row r="100" spans="1:11">
      <c r="A100" s="9" t="s">
        <v>1305</v>
      </c>
      <c r="B100" s="8"/>
      <c r="C100" s="8"/>
      <c r="D100" s="8"/>
      <c r="E100" s="8"/>
      <c r="F100" s="8"/>
      <c r="G100" s="8"/>
      <c r="H100" s="8"/>
      <c r="I100" s="8"/>
      <c r="J100" s="8"/>
      <c r="K100" s="8"/>
    </row>
    <row r="101" spans="1:11">
      <c r="A101" s="162" t="s">
        <v>1282</v>
      </c>
      <c r="B101" s="168" t="s">
        <v>1283</v>
      </c>
      <c r="C101" s="168" t="s">
        <v>1284</v>
      </c>
      <c r="D101" s="66" t="s">
        <v>1285</v>
      </c>
      <c r="E101" s="66" t="s">
        <v>1286</v>
      </c>
      <c r="F101" s="66" t="s">
        <v>1287</v>
      </c>
      <c r="G101" s="66" t="s">
        <v>1288</v>
      </c>
      <c r="H101" s="66" t="s">
        <v>1289</v>
      </c>
      <c r="I101" s="66" t="s">
        <v>1290</v>
      </c>
      <c r="J101" s="66" t="s">
        <v>1291</v>
      </c>
      <c r="K101" s="66" t="s">
        <v>1292</v>
      </c>
    </row>
    <row r="102" spans="1:11">
      <c r="A102" s="283" t="s">
        <v>1293</v>
      </c>
      <c r="B102" s="441">
        <v>0</v>
      </c>
      <c r="C102" s="441">
        <v>0</v>
      </c>
      <c r="D102" s="441">
        <v>0</v>
      </c>
      <c r="E102" s="441">
        <v>0</v>
      </c>
      <c r="F102" s="441">
        <v>0</v>
      </c>
      <c r="G102" s="441">
        <v>0</v>
      </c>
      <c r="H102" s="441">
        <v>0</v>
      </c>
      <c r="I102" s="441">
        <v>0</v>
      </c>
      <c r="J102" s="441">
        <v>0</v>
      </c>
      <c r="K102" s="441">
        <v>0</v>
      </c>
    </row>
    <row r="103" spans="1:11">
      <c r="A103" s="283" t="s">
        <v>1294</v>
      </c>
      <c r="B103" s="406">
        <v>0</v>
      </c>
      <c r="C103" s="406">
        <v>0</v>
      </c>
      <c r="D103" s="441">
        <v>0</v>
      </c>
      <c r="E103" s="441">
        <v>0</v>
      </c>
      <c r="F103" s="441">
        <v>0</v>
      </c>
      <c r="G103" s="441">
        <v>1</v>
      </c>
      <c r="H103" s="441">
        <v>1</v>
      </c>
      <c r="I103" s="441">
        <v>1</v>
      </c>
      <c r="J103" s="441">
        <v>1</v>
      </c>
      <c r="K103" s="441">
        <v>1</v>
      </c>
    </row>
    <row r="104" spans="1:11">
      <c r="A104" s="284" t="s">
        <v>26</v>
      </c>
      <c r="B104" s="406">
        <v>0</v>
      </c>
      <c r="C104" s="406">
        <v>0</v>
      </c>
      <c r="D104" s="441">
        <v>0</v>
      </c>
      <c r="E104" s="441">
        <v>0</v>
      </c>
      <c r="F104" s="441">
        <v>1</v>
      </c>
      <c r="G104" s="441">
        <v>1</v>
      </c>
      <c r="H104" s="441">
        <v>1</v>
      </c>
      <c r="I104" s="441">
        <v>1</v>
      </c>
      <c r="J104" s="441">
        <v>1</v>
      </c>
      <c r="K104" s="441">
        <v>1</v>
      </c>
    </row>
    <row r="105" spans="1:11">
      <c r="A105" s="283" t="s">
        <v>269</v>
      </c>
      <c r="B105" s="406">
        <v>0</v>
      </c>
      <c r="C105" s="406">
        <v>0</v>
      </c>
      <c r="D105" s="441">
        <v>0</v>
      </c>
      <c r="E105" s="441">
        <v>0</v>
      </c>
      <c r="F105" s="441">
        <v>0</v>
      </c>
      <c r="G105" s="441">
        <v>0</v>
      </c>
      <c r="H105" s="441">
        <v>0</v>
      </c>
      <c r="I105" s="441">
        <v>0</v>
      </c>
      <c r="J105" s="441">
        <v>0</v>
      </c>
      <c r="K105" s="441">
        <v>0</v>
      </c>
    </row>
    <row r="106" spans="1:11">
      <c r="A106" s="284" t="s">
        <v>270</v>
      </c>
      <c r="B106" s="406">
        <v>0</v>
      </c>
      <c r="C106" s="406">
        <v>0</v>
      </c>
      <c r="D106" s="441">
        <v>0</v>
      </c>
      <c r="E106" s="441">
        <v>0</v>
      </c>
      <c r="F106" s="441">
        <v>0</v>
      </c>
      <c r="G106" s="441">
        <v>0</v>
      </c>
      <c r="H106" s="441">
        <v>0</v>
      </c>
      <c r="I106" s="441">
        <v>0</v>
      </c>
      <c r="J106" s="441">
        <v>0</v>
      </c>
      <c r="K106" s="441">
        <v>0</v>
      </c>
    </row>
    <row r="107" spans="1:11">
      <c r="A107" s="284" t="s">
        <v>974</v>
      </c>
      <c r="B107" s="406">
        <v>0</v>
      </c>
      <c r="C107" s="406">
        <v>0</v>
      </c>
      <c r="D107" s="441">
        <v>0</v>
      </c>
      <c r="E107" s="441">
        <v>0</v>
      </c>
      <c r="F107" s="441">
        <v>0</v>
      </c>
      <c r="G107" s="441">
        <v>1</v>
      </c>
      <c r="H107" s="441">
        <v>1</v>
      </c>
      <c r="I107" s="441">
        <v>1</v>
      </c>
      <c r="J107" s="441">
        <v>1</v>
      </c>
      <c r="K107" s="441">
        <v>1</v>
      </c>
    </row>
    <row r="108" spans="1:11">
      <c r="A108" s="284" t="s">
        <v>263</v>
      </c>
      <c r="B108" s="406">
        <v>0</v>
      </c>
      <c r="C108" s="406">
        <v>0</v>
      </c>
      <c r="D108" s="441">
        <v>0</v>
      </c>
      <c r="E108" s="441">
        <v>0</v>
      </c>
      <c r="F108" s="441">
        <v>0</v>
      </c>
      <c r="G108" s="441">
        <v>0</v>
      </c>
      <c r="H108" s="441">
        <v>0</v>
      </c>
      <c r="I108" s="441">
        <v>0</v>
      </c>
      <c r="J108" s="441">
        <v>0</v>
      </c>
      <c r="K108" s="441">
        <v>0</v>
      </c>
    </row>
    <row r="109" spans="1:11">
      <c r="A109" s="284" t="s">
        <v>264</v>
      </c>
      <c r="B109" s="406">
        <v>1</v>
      </c>
      <c r="C109" s="406">
        <v>1</v>
      </c>
      <c r="D109" s="441">
        <v>1</v>
      </c>
      <c r="E109" s="441">
        <v>1</v>
      </c>
      <c r="F109" s="441">
        <v>1</v>
      </c>
      <c r="G109" s="441">
        <v>1</v>
      </c>
      <c r="H109" s="441">
        <v>1</v>
      </c>
      <c r="I109" s="441">
        <v>1</v>
      </c>
      <c r="J109" s="441">
        <v>1</v>
      </c>
      <c r="K109" s="441">
        <v>1</v>
      </c>
    </row>
    <row r="110" spans="1:11">
      <c r="A110" s="284" t="s">
        <v>51</v>
      </c>
      <c r="B110" s="406">
        <v>0</v>
      </c>
      <c r="C110" s="406">
        <v>0</v>
      </c>
      <c r="D110" s="441">
        <v>0</v>
      </c>
      <c r="E110" s="441">
        <v>0</v>
      </c>
      <c r="F110" s="441">
        <v>1</v>
      </c>
      <c r="G110" s="441">
        <v>1</v>
      </c>
      <c r="H110" s="441">
        <v>1</v>
      </c>
      <c r="I110" s="441">
        <v>1</v>
      </c>
      <c r="J110" s="441">
        <v>1</v>
      </c>
      <c r="K110" s="441">
        <v>1</v>
      </c>
    </row>
    <row r="111" spans="1:11">
      <c r="A111" s="284" t="s">
        <v>33</v>
      </c>
      <c r="B111" s="406">
        <v>0</v>
      </c>
      <c r="C111" s="406">
        <v>0</v>
      </c>
      <c r="D111" s="441">
        <v>0</v>
      </c>
      <c r="E111" s="441">
        <v>0</v>
      </c>
      <c r="F111" s="441">
        <v>0</v>
      </c>
      <c r="G111" s="441">
        <v>0</v>
      </c>
      <c r="H111" s="441">
        <v>0</v>
      </c>
      <c r="I111" s="441">
        <v>0</v>
      </c>
      <c r="J111" s="441">
        <v>0</v>
      </c>
      <c r="K111" s="441">
        <v>0</v>
      </c>
    </row>
    <row r="112" spans="1:11">
      <c r="A112" s="284" t="s">
        <v>425</v>
      </c>
      <c r="B112" s="406">
        <v>0</v>
      </c>
      <c r="C112" s="406">
        <v>0</v>
      </c>
      <c r="D112" s="441">
        <v>0</v>
      </c>
      <c r="E112" s="441">
        <v>0</v>
      </c>
      <c r="F112" s="441">
        <v>1</v>
      </c>
      <c r="G112" s="441">
        <v>1</v>
      </c>
      <c r="H112" s="441">
        <v>1</v>
      </c>
      <c r="I112" s="441">
        <v>1</v>
      </c>
      <c r="J112" s="441">
        <v>1</v>
      </c>
      <c r="K112" s="441">
        <v>1</v>
      </c>
    </row>
    <row r="113" spans="1:11">
      <c r="A113" s="284" t="s">
        <v>45</v>
      </c>
      <c r="B113" s="406">
        <v>0</v>
      </c>
      <c r="C113" s="406">
        <v>0</v>
      </c>
      <c r="D113" s="441">
        <v>0</v>
      </c>
      <c r="E113" s="441">
        <v>0</v>
      </c>
      <c r="F113" s="441">
        <v>0</v>
      </c>
      <c r="G113" s="441">
        <v>0</v>
      </c>
      <c r="H113" s="441">
        <v>0</v>
      </c>
      <c r="I113" s="441">
        <v>0</v>
      </c>
      <c r="J113" s="441">
        <v>0</v>
      </c>
      <c r="K113" s="441">
        <v>0</v>
      </c>
    </row>
    <row r="114" spans="1:11">
      <c r="A114" s="284" t="s">
        <v>927</v>
      </c>
      <c r="B114" s="406">
        <v>1</v>
      </c>
      <c r="C114" s="406">
        <v>1</v>
      </c>
      <c r="D114" s="441">
        <v>1</v>
      </c>
      <c r="E114" s="441">
        <v>1</v>
      </c>
      <c r="F114" s="441">
        <v>1</v>
      </c>
      <c r="G114" s="441">
        <v>1</v>
      </c>
      <c r="H114" s="441">
        <v>1</v>
      </c>
      <c r="I114" s="441">
        <v>1</v>
      </c>
      <c r="J114" s="441">
        <v>1</v>
      </c>
      <c r="K114" s="441">
        <v>1</v>
      </c>
    </row>
    <row r="115" spans="1:11">
      <c r="A115" s="284" t="s">
        <v>56</v>
      </c>
      <c r="B115" s="406">
        <v>0</v>
      </c>
      <c r="C115" s="406">
        <v>0</v>
      </c>
      <c r="D115" s="441">
        <v>0</v>
      </c>
      <c r="E115" s="441">
        <v>0</v>
      </c>
      <c r="F115" s="441">
        <v>0</v>
      </c>
      <c r="G115" s="441">
        <v>0</v>
      </c>
      <c r="H115" s="441">
        <v>0</v>
      </c>
      <c r="I115" s="441">
        <v>0</v>
      </c>
      <c r="J115" s="441">
        <v>0</v>
      </c>
      <c r="K115" s="441">
        <v>0</v>
      </c>
    </row>
    <row r="116" spans="1:11">
      <c r="A116" s="284" t="s">
        <v>54</v>
      </c>
      <c r="B116" s="406">
        <v>1</v>
      </c>
      <c r="C116" s="406">
        <v>0</v>
      </c>
      <c r="D116" s="441">
        <v>1</v>
      </c>
      <c r="E116" s="441">
        <v>1</v>
      </c>
      <c r="F116" s="441">
        <v>1</v>
      </c>
      <c r="G116" s="441">
        <v>1</v>
      </c>
      <c r="H116" s="441">
        <v>1</v>
      </c>
      <c r="I116" s="441">
        <v>1</v>
      </c>
      <c r="J116" s="441">
        <v>1</v>
      </c>
      <c r="K116" s="441">
        <v>1</v>
      </c>
    </row>
    <row r="117" spans="1:11">
      <c r="A117" s="284" t="s">
        <v>1295</v>
      </c>
      <c r="B117" s="406">
        <v>1</v>
      </c>
      <c r="C117" s="406">
        <v>1</v>
      </c>
      <c r="D117" s="441">
        <v>0</v>
      </c>
      <c r="E117" s="441">
        <v>0</v>
      </c>
      <c r="F117" s="441">
        <v>0</v>
      </c>
      <c r="G117" s="441">
        <v>0</v>
      </c>
      <c r="H117" s="441">
        <v>1</v>
      </c>
      <c r="I117" s="441">
        <v>0</v>
      </c>
      <c r="J117" s="441">
        <v>0</v>
      </c>
      <c r="K117" s="441">
        <v>0</v>
      </c>
    </row>
    <row r="118" spans="1:11">
      <c r="A118" s="284" t="s">
        <v>50</v>
      </c>
      <c r="B118" s="406">
        <v>0</v>
      </c>
      <c r="C118" s="406">
        <v>0</v>
      </c>
      <c r="D118" s="441">
        <v>0</v>
      </c>
      <c r="E118" s="441">
        <v>0</v>
      </c>
      <c r="F118" s="441">
        <v>0</v>
      </c>
      <c r="G118" s="441">
        <v>1</v>
      </c>
      <c r="H118" s="441">
        <v>1</v>
      </c>
      <c r="I118" s="441">
        <v>0</v>
      </c>
      <c r="J118" s="441">
        <v>0</v>
      </c>
      <c r="K118" s="441">
        <v>0</v>
      </c>
    </row>
    <row r="119" spans="1:11">
      <c r="A119" s="284" t="s">
        <v>265</v>
      </c>
      <c r="B119" s="406">
        <v>0</v>
      </c>
      <c r="C119" s="406">
        <v>0</v>
      </c>
      <c r="D119" s="441">
        <v>1</v>
      </c>
      <c r="E119" s="441">
        <v>1</v>
      </c>
      <c r="F119" s="441">
        <v>1</v>
      </c>
      <c r="G119" s="441">
        <v>1</v>
      </c>
      <c r="H119" s="441">
        <v>1</v>
      </c>
      <c r="I119" s="441">
        <v>1</v>
      </c>
      <c r="J119" s="441">
        <v>1</v>
      </c>
      <c r="K119" s="441">
        <v>1</v>
      </c>
    </row>
    <row r="120" spans="1:11">
      <c r="A120" s="284" t="s">
        <v>961</v>
      </c>
      <c r="B120" s="441">
        <v>0</v>
      </c>
      <c r="C120" s="441">
        <v>0</v>
      </c>
      <c r="D120" s="441">
        <v>0</v>
      </c>
      <c r="E120" s="441">
        <v>0</v>
      </c>
      <c r="F120" s="441">
        <v>0</v>
      </c>
      <c r="G120" s="441">
        <v>0</v>
      </c>
      <c r="H120" s="441">
        <v>0</v>
      </c>
      <c r="I120" s="441">
        <v>0</v>
      </c>
      <c r="J120" s="441">
        <v>0</v>
      </c>
      <c r="K120" s="441">
        <v>0</v>
      </c>
    </row>
    <row r="121" spans="1:11">
      <c r="A121" s="284" t="s">
        <v>1296</v>
      </c>
      <c r="B121" s="441">
        <v>0</v>
      </c>
      <c r="C121" s="441">
        <v>0</v>
      </c>
      <c r="D121" s="441">
        <v>0</v>
      </c>
      <c r="E121" s="441">
        <v>0</v>
      </c>
      <c r="F121" s="441">
        <v>0</v>
      </c>
      <c r="G121" s="441">
        <v>0</v>
      </c>
      <c r="H121" s="441">
        <v>0</v>
      </c>
      <c r="I121" s="441">
        <v>0</v>
      </c>
      <c r="J121" s="441">
        <v>0</v>
      </c>
      <c r="K121" s="441">
        <v>0</v>
      </c>
    </row>
    <row r="122" spans="1:11">
      <c r="A122" s="284" t="s">
        <v>266</v>
      </c>
      <c r="B122" s="441">
        <v>1</v>
      </c>
      <c r="C122" s="441">
        <v>1</v>
      </c>
      <c r="D122" s="441">
        <v>1</v>
      </c>
      <c r="E122" s="441">
        <v>1</v>
      </c>
      <c r="F122" s="441">
        <v>1</v>
      </c>
      <c r="G122" s="441">
        <v>1</v>
      </c>
      <c r="H122" s="441">
        <v>1</v>
      </c>
      <c r="I122" s="441">
        <v>1</v>
      </c>
      <c r="J122" s="441">
        <v>1</v>
      </c>
      <c r="K122" s="441">
        <v>1</v>
      </c>
    </row>
    <row r="123" spans="1:11">
      <c r="A123" s="284" t="s">
        <v>268</v>
      </c>
      <c r="B123" s="441">
        <v>0</v>
      </c>
      <c r="C123" s="441">
        <v>0</v>
      </c>
      <c r="D123" s="441">
        <v>0</v>
      </c>
      <c r="E123" s="441">
        <v>0</v>
      </c>
      <c r="F123" s="441">
        <v>1</v>
      </c>
      <c r="G123" s="441">
        <v>1</v>
      </c>
      <c r="H123" s="441">
        <v>1</v>
      </c>
      <c r="I123" s="441">
        <v>1</v>
      </c>
      <c r="J123" s="441">
        <v>1</v>
      </c>
      <c r="K123" s="441">
        <v>1</v>
      </c>
    </row>
    <row r="124" spans="1:11">
      <c r="A124" s="284" t="s">
        <v>1297</v>
      </c>
      <c r="B124" s="441">
        <v>0</v>
      </c>
      <c r="C124" s="441">
        <v>0</v>
      </c>
      <c r="D124" s="441">
        <v>0</v>
      </c>
      <c r="E124" s="441">
        <v>0</v>
      </c>
      <c r="F124" s="441">
        <v>0</v>
      </c>
      <c r="G124" s="441">
        <v>0</v>
      </c>
      <c r="H124" s="441">
        <v>1</v>
      </c>
      <c r="I124" s="441">
        <v>0</v>
      </c>
      <c r="J124" s="441">
        <v>0</v>
      </c>
      <c r="K124" s="441">
        <v>0</v>
      </c>
    </row>
    <row r="125" spans="1:11">
      <c r="A125" s="284" t="s">
        <v>25</v>
      </c>
      <c r="B125" s="441">
        <v>0</v>
      </c>
      <c r="C125" s="441">
        <v>0</v>
      </c>
      <c r="D125" s="441">
        <v>0</v>
      </c>
      <c r="E125" s="441">
        <v>0</v>
      </c>
      <c r="F125" s="441">
        <v>0</v>
      </c>
      <c r="G125" s="441">
        <v>0</v>
      </c>
      <c r="H125" s="441">
        <v>0</v>
      </c>
      <c r="I125" s="441">
        <v>0</v>
      </c>
      <c r="J125" s="441">
        <v>0</v>
      </c>
      <c r="K125" s="441">
        <v>0</v>
      </c>
    </row>
    <row r="126" spans="1:11">
      <c r="A126" s="284" t="s">
        <v>1298</v>
      </c>
      <c r="B126" s="441">
        <v>1</v>
      </c>
      <c r="C126" s="441">
        <v>1</v>
      </c>
      <c r="D126" s="441">
        <v>1</v>
      </c>
      <c r="E126" s="441">
        <v>1</v>
      </c>
      <c r="F126" s="441">
        <v>1</v>
      </c>
      <c r="G126" s="441">
        <v>1</v>
      </c>
      <c r="H126" s="441">
        <v>1</v>
      </c>
      <c r="I126" s="441">
        <v>1</v>
      </c>
      <c r="J126" s="441">
        <v>1</v>
      </c>
      <c r="K126" s="441">
        <v>1</v>
      </c>
    </row>
    <row r="127" spans="1:11">
      <c r="A127" s="284" t="s">
        <v>1299</v>
      </c>
      <c r="B127" s="441">
        <v>1</v>
      </c>
      <c r="C127" s="441">
        <v>1</v>
      </c>
      <c r="D127" s="441">
        <v>1</v>
      </c>
      <c r="E127" s="441">
        <v>1</v>
      </c>
      <c r="F127" s="441">
        <v>1</v>
      </c>
      <c r="G127" s="441">
        <v>1</v>
      </c>
      <c r="H127" s="441">
        <v>1</v>
      </c>
      <c r="I127" s="441">
        <v>1</v>
      </c>
      <c r="J127" s="441">
        <v>1</v>
      </c>
      <c r="K127" s="441">
        <v>1</v>
      </c>
    </row>
    <row r="128" spans="1:11">
      <c r="A128" s="284" t="s">
        <v>1300</v>
      </c>
      <c r="B128" s="441">
        <v>1</v>
      </c>
      <c r="C128" s="441">
        <v>1</v>
      </c>
      <c r="D128" s="441">
        <v>1</v>
      </c>
      <c r="E128" s="441">
        <v>1</v>
      </c>
      <c r="F128" s="441">
        <v>1</v>
      </c>
      <c r="G128" s="441">
        <v>1</v>
      </c>
      <c r="H128" s="441">
        <v>1</v>
      </c>
      <c r="I128" s="441">
        <v>1</v>
      </c>
      <c r="J128" s="441">
        <v>1</v>
      </c>
      <c r="K128" s="441">
        <v>1</v>
      </c>
    </row>
    <row r="129" spans="1:11">
      <c r="A129" s="284" t="s">
        <v>1301</v>
      </c>
      <c r="B129" s="441">
        <v>0</v>
      </c>
      <c r="C129" s="441">
        <v>0</v>
      </c>
      <c r="D129" s="441">
        <v>0</v>
      </c>
      <c r="E129" s="441">
        <v>0</v>
      </c>
      <c r="F129" s="441">
        <v>0</v>
      </c>
      <c r="G129" s="441">
        <v>0</v>
      </c>
      <c r="H129" s="441">
        <v>0</v>
      </c>
      <c r="I129" s="441">
        <v>0</v>
      </c>
      <c r="J129" s="441">
        <v>0</v>
      </c>
      <c r="K129" s="441">
        <v>0</v>
      </c>
    </row>
    <row r="130" spans="1:11">
      <c r="A130" s="284" t="s">
        <v>257</v>
      </c>
      <c r="B130" s="441">
        <v>0</v>
      </c>
      <c r="C130" s="441">
        <v>0</v>
      </c>
      <c r="D130" s="441">
        <v>0</v>
      </c>
      <c r="E130" s="441">
        <v>0</v>
      </c>
      <c r="F130" s="441">
        <v>0</v>
      </c>
      <c r="G130" s="441">
        <v>0</v>
      </c>
      <c r="H130" s="441">
        <v>0</v>
      </c>
      <c r="I130" s="441">
        <v>0</v>
      </c>
      <c r="J130" s="441">
        <v>0</v>
      </c>
      <c r="K130" s="441">
        <v>0</v>
      </c>
    </row>
    <row r="131" spans="1:11">
      <c r="A131" s="284" t="s">
        <v>1302</v>
      </c>
      <c r="B131" s="441">
        <v>0</v>
      </c>
      <c r="C131" s="441">
        <v>0</v>
      </c>
      <c r="D131" s="441">
        <v>0</v>
      </c>
      <c r="E131" s="441">
        <v>0</v>
      </c>
      <c r="F131" s="441">
        <v>0</v>
      </c>
      <c r="G131" s="441">
        <v>0</v>
      </c>
      <c r="H131" s="441">
        <v>0</v>
      </c>
      <c r="I131" s="441">
        <v>0</v>
      </c>
      <c r="J131" s="441">
        <v>0</v>
      </c>
      <c r="K131" s="441">
        <v>0</v>
      </c>
    </row>
    <row r="132" spans="1:11">
      <c r="A132" s="284" t="s">
        <v>255</v>
      </c>
      <c r="B132" s="441">
        <v>0</v>
      </c>
      <c r="C132" s="441">
        <v>0</v>
      </c>
      <c r="D132" s="441">
        <v>0</v>
      </c>
      <c r="E132" s="441">
        <v>0</v>
      </c>
      <c r="F132" s="441">
        <v>0</v>
      </c>
      <c r="G132" s="441">
        <v>0</v>
      </c>
      <c r="H132" s="441">
        <v>0</v>
      </c>
      <c r="I132" s="441">
        <v>0</v>
      </c>
      <c r="J132" s="441">
        <v>0</v>
      </c>
      <c r="K132" s="441">
        <v>0</v>
      </c>
    </row>
    <row r="133" spans="1:11">
      <c r="A133" s="284" t="s">
        <v>1303</v>
      </c>
      <c r="B133" s="441">
        <v>0</v>
      </c>
      <c r="C133" s="441">
        <v>0</v>
      </c>
      <c r="D133" s="441">
        <v>0</v>
      </c>
      <c r="E133" s="441">
        <v>0</v>
      </c>
      <c r="F133" s="441">
        <v>0</v>
      </c>
      <c r="G133" s="441">
        <v>0</v>
      </c>
      <c r="H133" s="441">
        <v>0</v>
      </c>
      <c r="I133" s="441">
        <v>0</v>
      </c>
      <c r="J133" s="441">
        <v>0</v>
      </c>
      <c r="K133" s="441">
        <v>0</v>
      </c>
    </row>
    <row r="134" spans="1:11">
      <c r="A134" s="284" t="s">
        <v>58</v>
      </c>
      <c r="B134" s="441">
        <v>0</v>
      </c>
      <c r="C134" s="441">
        <v>0</v>
      </c>
      <c r="D134" s="441">
        <v>0</v>
      </c>
      <c r="E134" s="441">
        <v>0</v>
      </c>
      <c r="F134" s="441">
        <v>0</v>
      </c>
      <c r="G134" s="441">
        <v>0</v>
      </c>
      <c r="H134" s="441">
        <v>0</v>
      </c>
      <c r="I134" s="441">
        <v>0</v>
      </c>
      <c r="J134" s="441">
        <v>0</v>
      </c>
      <c r="K134" s="441">
        <v>0</v>
      </c>
    </row>
    <row r="135" spans="1:11">
      <c r="A135" s="284" t="s">
        <v>29</v>
      </c>
      <c r="B135" s="441">
        <v>0</v>
      </c>
      <c r="C135" s="441">
        <v>0</v>
      </c>
      <c r="D135" s="441">
        <v>0</v>
      </c>
      <c r="E135" s="441">
        <v>0</v>
      </c>
      <c r="F135" s="441">
        <v>0</v>
      </c>
      <c r="G135" s="441">
        <v>0</v>
      </c>
      <c r="H135" s="441">
        <v>0</v>
      </c>
      <c r="I135" s="441">
        <v>0</v>
      </c>
      <c r="J135" s="441">
        <v>0</v>
      </c>
      <c r="K135" s="441">
        <v>0</v>
      </c>
    </row>
    <row r="136" spans="1:11">
      <c r="A136" s="284" t="s">
        <v>1304</v>
      </c>
      <c r="B136" s="407">
        <v>0.5</v>
      </c>
      <c r="C136" s="373">
        <f>B136</f>
        <v>0.5</v>
      </c>
      <c r="D136" s="373">
        <f t="shared" ref="D136:K137" si="37">C136</f>
        <v>0.5</v>
      </c>
      <c r="E136" s="373">
        <f t="shared" si="37"/>
        <v>0.5</v>
      </c>
      <c r="F136" s="373">
        <f t="shared" si="37"/>
        <v>0.5</v>
      </c>
      <c r="G136" s="373">
        <f t="shared" si="37"/>
        <v>0.5</v>
      </c>
      <c r="H136" s="373">
        <f t="shared" si="37"/>
        <v>0.5</v>
      </c>
      <c r="I136" s="373">
        <f t="shared" si="37"/>
        <v>0.5</v>
      </c>
      <c r="J136" s="373">
        <f t="shared" si="37"/>
        <v>0.5</v>
      </c>
      <c r="K136" s="373">
        <f t="shared" si="37"/>
        <v>0.5</v>
      </c>
    </row>
    <row r="137" spans="1:11">
      <c r="A137" s="284" t="s">
        <v>28</v>
      </c>
      <c r="B137" s="407">
        <v>0.5</v>
      </c>
      <c r="C137" s="373">
        <f>B137</f>
        <v>0.5</v>
      </c>
      <c r="D137" s="373">
        <f t="shared" si="37"/>
        <v>0.5</v>
      </c>
      <c r="E137" s="373">
        <f t="shared" si="37"/>
        <v>0.5</v>
      </c>
      <c r="F137" s="373">
        <f t="shared" si="37"/>
        <v>0.5</v>
      </c>
      <c r="G137" s="373">
        <f t="shared" si="37"/>
        <v>0.5</v>
      </c>
      <c r="H137" s="373">
        <f t="shared" si="37"/>
        <v>0.5</v>
      </c>
      <c r="I137" s="373">
        <f t="shared" si="37"/>
        <v>0.5</v>
      </c>
      <c r="J137" s="373">
        <f t="shared" si="37"/>
        <v>0.5</v>
      </c>
      <c r="K137" s="373">
        <f t="shared" si="37"/>
        <v>0.5</v>
      </c>
    </row>
    <row r="138" spans="1:11">
      <c r="A138" s="8"/>
      <c r="D138" s="8"/>
      <c r="E138" s="8"/>
      <c r="F138" s="8"/>
      <c r="G138" s="8"/>
      <c r="H138" s="8"/>
      <c r="I138" s="8"/>
      <c r="J138" s="8"/>
      <c r="K138" s="8"/>
    </row>
    <row r="139" spans="1:11">
      <c r="A139" s="107" t="s">
        <v>1306</v>
      </c>
      <c r="B139" s="168" t="s">
        <v>1283</v>
      </c>
      <c r="C139" s="168" t="s">
        <v>1284</v>
      </c>
      <c r="D139" s="66" t="s">
        <v>1285</v>
      </c>
      <c r="E139" s="66" t="s">
        <v>1286</v>
      </c>
      <c r="F139" s="66" t="s">
        <v>1287</v>
      </c>
      <c r="G139" s="66" t="s">
        <v>1288</v>
      </c>
      <c r="H139" s="66" t="s">
        <v>1289</v>
      </c>
      <c r="I139" s="66" t="s">
        <v>1290</v>
      </c>
      <c r="J139" s="66" t="s">
        <v>1291</v>
      </c>
      <c r="K139" s="66" t="s">
        <v>1292</v>
      </c>
    </row>
    <row r="140" spans="1:11">
      <c r="A140" s="283" t="s">
        <v>1293</v>
      </c>
      <c r="B140" s="408">
        <v>0</v>
      </c>
      <c r="C140" s="408">
        <v>0</v>
      </c>
      <c r="D140" s="408">
        <v>0</v>
      </c>
      <c r="E140" s="408">
        <v>2.14E-3</v>
      </c>
      <c r="F140" s="408">
        <v>2.0016419999999995</v>
      </c>
      <c r="G140" s="408">
        <v>1.4957819999999999</v>
      </c>
      <c r="H140" s="408">
        <v>4.8557310000000005</v>
      </c>
      <c r="I140" s="408">
        <v>4.5479820000000011</v>
      </c>
      <c r="J140" s="408">
        <v>3.4391179999999997</v>
      </c>
      <c r="K140" s="408">
        <v>2.9041289999999993</v>
      </c>
    </row>
    <row r="141" spans="1:11">
      <c r="A141" s="283" t="s">
        <v>1294</v>
      </c>
      <c r="B141" s="408">
        <v>0</v>
      </c>
      <c r="C141" s="408">
        <v>0</v>
      </c>
      <c r="D141" s="408">
        <v>0</v>
      </c>
      <c r="E141" s="408">
        <v>0</v>
      </c>
      <c r="F141" s="408">
        <v>4.7484260000000003</v>
      </c>
      <c r="G141" s="408">
        <v>10.436214</v>
      </c>
      <c r="H141" s="408">
        <v>9.7793330000000047</v>
      </c>
      <c r="I141" s="408">
        <v>3.4316469999999999</v>
      </c>
      <c r="J141" s="408">
        <v>6.0887829999999967</v>
      </c>
      <c r="K141" s="408">
        <v>12.106862</v>
      </c>
    </row>
    <row r="142" spans="1:11">
      <c r="A142" s="284" t="s">
        <v>26</v>
      </c>
      <c r="B142" s="408">
        <v>3.7039999999999997</v>
      </c>
      <c r="C142" s="408">
        <v>13.675000000000001</v>
      </c>
      <c r="D142" s="408">
        <v>25.101000000000003</v>
      </c>
      <c r="E142" s="408">
        <v>62.325000000000003</v>
      </c>
      <c r="F142" s="408">
        <v>133.56099999999998</v>
      </c>
      <c r="G142" s="408">
        <v>201.46300000000002</v>
      </c>
      <c r="H142" s="408">
        <v>227.57699999999997</v>
      </c>
      <c r="I142" s="408">
        <v>256.05</v>
      </c>
      <c r="J142" s="408">
        <v>281.036</v>
      </c>
      <c r="K142" s="408">
        <v>257.94899999999996</v>
      </c>
    </row>
    <row r="143" spans="1:11">
      <c r="A143" s="283" t="s">
        <v>269</v>
      </c>
      <c r="B143" s="408">
        <v>0</v>
      </c>
      <c r="C143" s="408">
        <v>0</v>
      </c>
      <c r="D143" s="408">
        <v>0</v>
      </c>
      <c r="E143" s="408">
        <v>8.6439999999999989E-3</v>
      </c>
      <c r="F143" s="408">
        <v>1.730226</v>
      </c>
      <c r="G143" s="408">
        <v>6.843062999999999</v>
      </c>
      <c r="H143" s="408">
        <v>12.209292000000001</v>
      </c>
      <c r="I143" s="408">
        <v>11.795386000000001</v>
      </c>
      <c r="J143" s="408">
        <v>7.0838107568351711</v>
      </c>
      <c r="K143" s="408">
        <v>3.8571079999999998</v>
      </c>
    </row>
    <row r="144" spans="1:11">
      <c r="A144" s="284" t="s">
        <v>270</v>
      </c>
      <c r="B144" s="408">
        <v>1.2000000000000002</v>
      </c>
      <c r="C144" s="408">
        <v>0.89999999999999991</v>
      </c>
      <c r="D144" s="408">
        <v>0</v>
      </c>
      <c r="E144" s="408">
        <v>0</v>
      </c>
      <c r="F144" s="408">
        <v>0</v>
      </c>
      <c r="G144" s="408">
        <v>0</v>
      </c>
      <c r="H144" s="408">
        <v>0</v>
      </c>
      <c r="I144" s="408">
        <v>0</v>
      </c>
      <c r="J144" s="408">
        <v>0</v>
      </c>
      <c r="K144" s="408">
        <v>0</v>
      </c>
    </row>
    <row r="145" spans="1:11">
      <c r="A145" s="284" t="s">
        <v>974</v>
      </c>
      <c r="B145" s="408">
        <v>11.41</v>
      </c>
      <c r="C145" s="408">
        <v>22.57</v>
      </c>
      <c r="D145" s="408">
        <v>34</v>
      </c>
      <c r="E145" s="408">
        <v>48</v>
      </c>
      <c r="F145" s="408">
        <v>52.800000000000004</v>
      </c>
      <c r="G145" s="408">
        <v>33.199999999999996</v>
      </c>
      <c r="H145" s="408">
        <v>18.399999999999999</v>
      </c>
      <c r="I145" s="408">
        <v>7</v>
      </c>
      <c r="J145" s="408">
        <v>3.9080000000000004</v>
      </c>
      <c r="K145" s="408">
        <v>1.7550000000000001</v>
      </c>
    </row>
    <row r="146" spans="1:11">
      <c r="A146" s="284" t="s">
        <v>263</v>
      </c>
      <c r="B146" s="408">
        <v>0</v>
      </c>
      <c r="C146" s="408">
        <v>0</v>
      </c>
      <c r="D146" s="408">
        <v>2.17</v>
      </c>
      <c r="E146" s="408">
        <v>5</v>
      </c>
      <c r="F146" s="408">
        <v>10.7</v>
      </c>
      <c r="G146" s="408">
        <v>20.100000000000001</v>
      </c>
      <c r="H146" s="408">
        <v>30</v>
      </c>
      <c r="I146" s="408">
        <v>43</v>
      </c>
      <c r="J146" s="408">
        <v>27</v>
      </c>
      <c r="K146" s="408">
        <v>18</v>
      </c>
    </row>
    <row r="147" spans="1:11">
      <c r="A147" s="284" t="s">
        <v>264</v>
      </c>
      <c r="B147" s="408">
        <v>4.9000000000000004</v>
      </c>
      <c r="C147" s="408">
        <v>5.7</v>
      </c>
      <c r="D147" s="408">
        <v>5.1000000000000005</v>
      </c>
      <c r="E147" s="408">
        <v>11.86</v>
      </c>
      <c r="F147" s="408">
        <v>14.04</v>
      </c>
      <c r="G147" s="408">
        <v>12.5</v>
      </c>
      <c r="H147" s="408">
        <v>3.4000000000000004</v>
      </c>
      <c r="I147" s="408">
        <v>3.9999999999999996</v>
      </c>
      <c r="J147" s="408">
        <v>3.4</v>
      </c>
      <c r="K147" s="408">
        <v>3.4</v>
      </c>
    </row>
    <row r="148" spans="1:11">
      <c r="A148" s="284" t="s">
        <v>51</v>
      </c>
      <c r="B148" s="408">
        <v>9.9</v>
      </c>
      <c r="C148" s="408">
        <v>12</v>
      </c>
      <c r="D148" s="408">
        <v>11.7</v>
      </c>
      <c r="E148" s="408">
        <v>24.6</v>
      </c>
      <c r="F148" s="408">
        <v>45.3</v>
      </c>
      <c r="G148" s="408">
        <v>30</v>
      </c>
      <c r="H148" s="408">
        <v>19.399999999999999</v>
      </c>
      <c r="I148" s="408">
        <v>19.5</v>
      </c>
      <c r="J148" s="408">
        <v>13.600000000000001</v>
      </c>
      <c r="K148" s="408">
        <v>10.4</v>
      </c>
    </row>
    <row r="149" spans="1:11">
      <c r="A149" s="284" t="s">
        <v>33</v>
      </c>
      <c r="B149" s="408">
        <v>16</v>
      </c>
      <c r="C149" s="408">
        <v>29</v>
      </c>
      <c r="D149" s="408">
        <v>30</v>
      </c>
      <c r="E149" s="408">
        <v>30.700599999999998</v>
      </c>
      <c r="F149" s="408">
        <v>54.15696299999999</v>
      </c>
      <c r="G149" s="408">
        <v>60.118550999999997</v>
      </c>
      <c r="H149" s="408">
        <v>60.844525999999995</v>
      </c>
      <c r="I149" s="408">
        <v>80.592425999999989</v>
      </c>
      <c r="J149" s="408">
        <v>115.279579</v>
      </c>
      <c r="K149" s="408">
        <v>148.98248699999999</v>
      </c>
    </row>
    <row r="150" spans="1:11">
      <c r="A150" s="284" t="s">
        <v>425</v>
      </c>
      <c r="B150" s="408">
        <v>9.1999999999999993</v>
      </c>
      <c r="C150" s="408">
        <v>10.6</v>
      </c>
      <c r="D150" s="408">
        <v>10.1</v>
      </c>
      <c r="E150" s="408">
        <v>12.4</v>
      </c>
      <c r="F150" s="408">
        <v>7.7</v>
      </c>
      <c r="G150" s="408">
        <v>8.1</v>
      </c>
      <c r="H150" s="408">
        <v>8.6999999999999993</v>
      </c>
      <c r="I150" s="408">
        <v>8.8000000000000007</v>
      </c>
      <c r="J150" s="408">
        <v>8</v>
      </c>
      <c r="K150" s="408">
        <v>7.2999999999999989</v>
      </c>
    </row>
    <row r="151" spans="1:11">
      <c r="A151" s="284" t="s">
        <v>45</v>
      </c>
      <c r="B151" s="408">
        <v>7.1</v>
      </c>
      <c r="C151" s="408">
        <v>6</v>
      </c>
      <c r="D151" s="408">
        <v>6.6</v>
      </c>
      <c r="E151" s="408">
        <v>8.7000000000000011</v>
      </c>
      <c r="F151" s="408">
        <v>14.764104</v>
      </c>
      <c r="G151" s="408">
        <v>31.300769000000003</v>
      </c>
      <c r="H151" s="408">
        <v>53.781733000000003</v>
      </c>
      <c r="I151" s="408">
        <v>70.661805000000001</v>
      </c>
      <c r="J151" s="408">
        <v>85.240313000000015</v>
      </c>
      <c r="K151" s="408">
        <v>61.968722</v>
      </c>
    </row>
    <row r="152" spans="1:11">
      <c r="A152" s="284" t="s">
        <v>927</v>
      </c>
      <c r="B152" s="408">
        <v>80.5</v>
      </c>
      <c r="C152" s="408">
        <v>100.8</v>
      </c>
      <c r="D152" s="408">
        <v>117.89999999999999</v>
      </c>
      <c r="E152" s="408">
        <v>116.7</v>
      </c>
      <c r="F152" s="408">
        <v>88.17238900000001</v>
      </c>
      <c r="G152" s="408">
        <v>56.542707999999998</v>
      </c>
      <c r="H152" s="408">
        <v>71.050178000000002</v>
      </c>
      <c r="I152" s="408">
        <v>80.709176999999997</v>
      </c>
      <c r="J152" s="408">
        <v>77.883528999999996</v>
      </c>
      <c r="K152" s="408">
        <v>71.606096000000008</v>
      </c>
    </row>
    <row r="153" spans="1:11">
      <c r="A153" s="284" t="s">
        <v>56</v>
      </c>
      <c r="B153" s="408">
        <v>0</v>
      </c>
      <c r="C153" s="408">
        <v>0</v>
      </c>
      <c r="D153" s="408">
        <v>0</v>
      </c>
      <c r="E153" s="408">
        <v>0</v>
      </c>
      <c r="F153" s="408">
        <v>0</v>
      </c>
      <c r="G153" s="408">
        <v>0</v>
      </c>
      <c r="H153" s="408">
        <v>0</v>
      </c>
      <c r="I153" s="408">
        <v>0</v>
      </c>
      <c r="J153" s="408">
        <v>0</v>
      </c>
      <c r="K153" s="408">
        <v>0</v>
      </c>
    </row>
    <row r="154" spans="1:11">
      <c r="A154" s="284" t="s">
        <v>54</v>
      </c>
      <c r="B154" s="408">
        <v>437.09999999999997</v>
      </c>
      <c r="C154" s="408">
        <v>468.40000000000003</v>
      </c>
      <c r="D154" s="408">
        <v>431.79999999999995</v>
      </c>
      <c r="E154" s="408">
        <v>452.99999999999994</v>
      </c>
      <c r="F154" s="408">
        <v>417.09999999999997</v>
      </c>
      <c r="G154" s="408">
        <v>336.43951900000002</v>
      </c>
      <c r="H154" s="408">
        <v>256.85342500000002</v>
      </c>
      <c r="I154" s="408">
        <v>201.72779000000003</v>
      </c>
      <c r="J154" s="408">
        <v>125.23004106599998</v>
      </c>
      <c r="K154" s="408">
        <v>52.063072999999996</v>
      </c>
    </row>
    <row r="155" spans="1:11">
      <c r="A155" s="284" t="s">
        <v>1295</v>
      </c>
      <c r="B155" s="408">
        <v>3.0000000000000004</v>
      </c>
      <c r="C155" s="408">
        <v>0.2</v>
      </c>
      <c r="D155" s="408">
        <v>0</v>
      </c>
      <c r="E155" s="408">
        <v>0</v>
      </c>
      <c r="F155" s="408">
        <v>0</v>
      </c>
      <c r="G155" s="408">
        <v>0</v>
      </c>
      <c r="H155" s="408">
        <v>0</v>
      </c>
      <c r="I155" s="408">
        <v>0</v>
      </c>
      <c r="J155" s="408">
        <v>0</v>
      </c>
      <c r="K155" s="408">
        <v>0</v>
      </c>
    </row>
    <row r="156" spans="1:11">
      <c r="A156" s="284" t="s">
        <v>50</v>
      </c>
      <c r="B156" s="408">
        <v>159</v>
      </c>
      <c r="C156" s="408">
        <v>100.09999999999998</v>
      </c>
      <c r="D156" s="408">
        <v>55.199999999999996</v>
      </c>
      <c r="E156" s="408">
        <v>37.200000000000003</v>
      </c>
      <c r="F156" s="408">
        <v>41.45</v>
      </c>
      <c r="G156" s="408">
        <v>29.400000000000002</v>
      </c>
      <c r="H156" s="408">
        <v>15.9</v>
      </c>
      <c r="I156" s="408">
        <v>30.300000000000004</v>
      </c>
      <c r="J156" s="408">
        <v>0</v>
      </c>
      <c r="K156" s="408">
        <v>0</v>
      </c>
    </row>
    <row r="157" spans="1:11">
      <c r="A157" s="284" t="s">
        <v>265</v>
      </c>
      <c r="B157" s="408">
        <v>4.5</v>
      </c>
      <c r="C157" s="408">
        <v>5.7</v>
      </c>
      <c r="D157" s="408">
        <v>3.8999999999999995</v>
      </c>
      <c r="E157" s="408">
        <v>4.1999999999999993</v>
      </c>
      <c r="F157" s="408">
        <v>4.25</v>
      </c>
      <c r="G157" s="408">
        <v>3.3</v>
      </c>
      <c r="H157" s="408">
        <v>1.1500000000000001</v>
      </c>
      <c r="I157" s="408">
        <v>0</v>
      </c>
      <c r="J157" s="408">
        <v>0</v>
      </c>
      <c r="K157" s="408">
        <v>0</v>
      </c>
    </row>
    <row r="158" spans="1:11">
      <c r="A158" s="284" t="s">
        <v>961</v>
      </c>
      <c r="B158" s="408">
        <v>0</v>
      </c>
      <c r="C158" s="408">
        <v>0</v>
      </c>
      <c r="D158" s="408">
        <v>0</v>
      </c>
      <c r="E158" s="408">
        <v>0</v>
      </c>
      <c r="F158" s="408">
        <v>0</v>
      </c>
      <c r="G158" s="408">
        <v>0</v>
      </c>
      <c r="H158" s="408">
        <v>0</v>
      </c>
      <c r="I158" s="408">
        <v>0</v>
      </c>
      <c r="J158" s="408">
        <v>42.8</v>
      </c>
      <c r="K158" s="408">
        <v>96.4</v>
      </c>
    </row>
    <row r="159" spans="1:11">
      <c r="A159" s="284" t="s">
        <v>1296</v>
      </c>
      <c r="B159" s="408">
        <v>3.0220000000000002</v>
      </c>
      <c r="C159" s="408">
        <v>3.5</v>
      </c>
      <c r="D159" s="408">
        <v>2.2309999999999999</v>
      </c>
      <c r="E159" s="408">
        <v>1.4100000000000001</v>
      </c>
      <c r="F159" s="408">
        <v>0.2</v>
      </c>
      <c r="G159" s="408">
        <v>0</v>
      </c>
      <c r="H159" s="408">
        <v>0</v>
      </c>
      <c r="I159" s="408">
        <v>0</v>
      </c>
      <c r="J159" s="408">
        <v>0</v>
      </c>
      <c r="K159" s="408">
        <v>0</v>
      </c>
    </row>
    <row r="160" spans="1:11">
      <c r="A160" s="284" t="s">
        <v>266</v>
      </c>
      <c r="B160" s="408">
        <v>8.8999999999999986</v>
      </c>
      <c r="C160" s="408">
        <v>7.2000000000000011</v>
      </c>
      <c r="D160" s="408">
        <v>5.8900000000000006</v>
      </c>
      <c r="E160" s="408">
        <v>4.6399999999999997</v>
      </c>
      <c r="F160" s="408">
        <v>3.0049999999999999</v>
      </c>
      <c r="G160" s="408">
        <v>2.7</v>
      </c>
      <c r="H160" s="408">
        <v>2.1999999999999997</v>
      </c>
      <c r="I160" s="408">
        <v>0.30000000000000004</v>
      </c>
      <c r="J160" s="408">
        <v>0</v>
      </c>
      <c r="K160" s="408">
        <v>0</v>
      </c>
    </row>
    <row r="161" spans="1:11">
      <c r="A161" s="284" t="s">
        <v>268</v>
      </c>
      <c r="B161" s="408">
        <v>8.5</v>
      </c>
      <c r="C161" s="408">
        <v>9.8000000000000007</v>
      </c>
      <c r="D161" s="408">
        <v>9.4</v>
      </c>
      <c r="E161" s="408">
        <v>11.242000000000001</v>
      </c>
      <c r="F161" s="408">
        <v>12.512</v>
      </c>
      <c r="G161" s="408">
        <v>7.9930000000000003</v>
      </c>
      <c r="H161" s="408">
        <v>4.6740000000000004</v>
      </c>
      <c r="I161" s="408">
        <v>3.8129999999999997</v>
      </c>
      <c r="J161" s="408">
        <v>0</v>
      </c>
      <c r="K161" s="408">
        <v>0</v>
      </c>
    </row>
    <row r="162" spans="1:11">
      <c r="A162" s="284" t="s">
        <v>1297</v>
      </c>
      <c r="B162" s="408">
        <v>11.736000000000001</v>
      </c>
      <c r="C162" s="408">
        <v>5.7</v>
      </c>
      <c r="D162" s="408">
        <v>1.7</v>
      </c>
      <c r="E162" s="408">
        <v>3</v>
      </c>
      <c r="F162" s="408">
        <v>0</v>
      </c>
      <c r="G162" s="408">
        <v>0</v>
      </c>
      <c r="H162" s="408">
        <v>0</v>
      </c>
      <c r="I162" s="408">
        <v>0</v>
      </c>
      <c r="J162" s="408">
        <v>0</v>
      </c>
      <c r="K162" s="408">
        <v>0</v>
      </c>
    </row>
    <row r="163" spans="1:11">
      <c r="A163" s="284" t="s">
        <v>25</v>
      </c>
      <c r="B163" s="408">
        <v>161.1</v>
      </c>
      <c r="C163" s="408">
        <v>196.6</v>
      </c>
      <c r="D163" s="408">
        <v>227.1</v>
      </c>
      <c r="E163" s="408">
        <v>280.7</v>
      </c>
      <c r="F163" s="408">
        <v>333.86686000000003</v>
      </c>
      <c r="G163" s="408">
        <v>416.5</v>
      </c>
      <c r="H163" s="408">
        <v>496</v>
      </c>
      <c r="I163" s="408">
        <v>447</v>
      </c>
      <c r="J163" s="408">
        <v>423.5</v>
      </c>
      <c r="K163" s="408">
        <v>387.5</v>
      </c>
    </row>
    <row r="164" spans="1:11">
      <c r="A164" s="284" t="s">
        <v>1298</v>
      </c>
      <c r="B164" s="408">
        <v>7.4</v>
      </c>
      <c r="C164" s="408">
        <v>2</v>
      </c>
      <c r="D164" s="408">
        <v>0</v>
      </c>
      <c r="E164" s="408">
        <v>0</v>
      </c>
      <c r="F164" s="408">
        <v>0</v>
      </c>
      <c r="G164" s="408">
        <v>0</v>
      </c>
      <c r="H164" s="408">
        <v>0</v>
      </c>
      <c r="I164" s="408">
        <v>0</v>
      </c>
      <c r="J164" s="408">
        <v>0</v>
      </c>
      <c r="K164" s="408">
        <v>0</v>
      </c>
    </row>
    <row r="165" spans="1:11">
      <c r="A165" s="284" t="s">
        <v>1299</v>
      </c>
      <c r="B165" s="408">
        <v>16.899999999999999</v>
      </c>
      <c r="C165" s="408">
        <v>11.6</v>
      </c>
      <c r="D165" s="408">
        <v>9.8999999999999986</v>
      </c>
      <c r="E165" s="408">
        <v>10.87</v>
      </c>
      <c r="F165" s="408">
        <v>7.9900000000000011</v>
      </c>
      <c r="G165" s="408">
        <v>6.1</v>
      </c>
      <c r="H165" s="408">
        <v>6</v>
      </c>
      <c r="I165" s="408">
        <v>5.5</v>
      </c>
      <c r="J165" s="408">
        <v>4.2</v>
      </c>
      <c r="K165" s="408">
        <v>3.1</v>
      </c>
    </row>
    <row r="166" spans="1:11">
      <c r="A166" s="284" t="s">
        <v>1300</v>
      </c>
      <c r="B166" s="408">
        <v>103.4</v>
      </c>
      <c r="C166" s="408">
        <v>94.95</v>
      </c>
      <c r="D166" s="408">
        <v>57.3</v>
      </c>
      <c r="E166" s="408">
        <v>43.100000000000009</v>
      </c>
      <c r="F166" s="408">
        <v>34.200000000000003</v>
      </c>
      <c r="G166" s="408">
        <v>31</v>
      </c>
      <c r="H166" s="408">
        <v>38.4</v>
      </c>
      <c r="I166" s="408">
        <v>40</v>
      </c>
      <c r="J166" s="408">
        <v>29.4</v>
      </c>
      <c r="K166" s="408">
        <v>15.1</v>
      </c>
    </row>
    <row r="167" spans="1:11">
      <c r="A167" s="284" t="s">
        <v>1301</v>
      </c>
      <c r="B167" s="408">
        <v>0</v>
      </c>
      <c r="C167" s="408">
        <v>0</v>
      </c>
      <c r="D167" s="408">
        <v>0</v>
      </c>
      <c r="E167" s="408">
        <v>0</v>
      </c>
      <c r="F167" s="408">
        <v>0</v>
      </c>
      <c r="G167" s="408">
        <v>0</v>
      </c>
      <c r="H167" s="408">
        <v>0</v>
      </c>
      <c r="I167" s="408">
        <v>0</v>
      </c>
      <c r="J167" s="408">
        <v>0</v>
      </c>
      <c r="K167" s="408">
        <v>0</v>
      </c>
    </row>
    <row r="168" spans="1:11">
      <c r="A168" s="284" t="s">
        <v>257</v>
      </c>
      <c r="B168" s="408">
        <v>11.9</v>
      </c>
      <c r="C168" s="408">
        <v>13.7</v>
      </c>
      <c r="D168" s="408">
        <v>16.100000000000001</v>
      </c>
      <c r="E168" s="408">
        <v>36.200000000000003</v>
      </c>
      <c r="F168" s="408">
        <v>43.595999999999997</v>
      </c>
      <c r="G168" s="408">
        <v>41.569000000000003</v>
      </c>
      <c r="H168" s="408">
        <v>52.699999999999996</v>
      </c>
      <c r="I168" s="408">
        <v>70.300000000000011</v>
      </c>
      <c r="J168" s="408">
        <v>74.900000000000006</v>
      </c>
      <c r="K168" s="408">
        <v>67.400000000000006</v>
      </c>
    </row>
    <row r="169" spans="1:11">
      <c r="A169" s="284" t="s">
        <v>1302</v>
      </c>
      <c r="B169" s="408">
        <v>3.4000000000000004</v>
      </c>
      <c r="C169" s="408">
        <v>2.4</v>
      </c>
      <c r="D169" s="408">
        <v>2</v>
      </c>
      <c r="E169" s="408">
        <v>1.3</v>
      </c>
      <c r="F169" s="408">
        <v>0</v>
      </c>
      <c r="G169" s="408">
        <v>0</v>
      </c>
      <c r="H169" s="408">
        <v>0</v>
      </c>
      <c r="I169" s="408">
        <v>0</v>
      </c>
      <c r="J169" s="408">
        <v>0</v>
      </c>
      <c r="K169" s="408">
        <v>0</v>
      </c>
    </row>
    <row r="170" spans="1:11">
      <c r="A170" s="284" t="s">
        <v>255</v>
      </c>
      <c r="B170" s="408">
        <v>0</v>
      </c>
      <c r="C170" s="408">
        <v>0</v>
      </c>
      <c r="D170" s="408">
        <v>0</v>
      </c>
      <c r="E170" s="408">
        <v>0</v>
      </c>
      <c r="F170" s="408">
        <v>0</v>
      </c>
      <c r="G170" s="408">
        <v>0</v>
      </c>
      <c r="H170" s="408">
        <v>0</v>
      </c>
      <c r="I170" s="408">
        <v>0</v>
      </c>
      <c r="J170" s="408">
        <v>38.5</v>
      </c>
      <c r="K170" s="408">
        <v>76.900000000000006</v>
      </c>
    </row>
    <row r="171" spans="1:11">
      <c r="A171" s="284" t="s">
        <v>1303</v>
      </c>
      <c r="B171" s="408">
        <v>30.6</v>
      </c>
      <c r="C171" s="408">
        <v>50.5</v>
      </c>
      <c r="D171" s="408">
        <v>120</v>
      </c>
      <c r="E171" s="408">
        <v>142.5</v>
      </c>
      <c r="F171" s="408">
        <v>131.49417516096744</v>
      </c>
      <c r="G171" s="408">
        <v>114.05302862827928</v>
      </c>
      <c r="H171" s="408">
        <v>53.628722290213076</v>
      </c>
      <c r="I171" s="408">
        <v>81.185727921986114</v>
      </c>
      <c r="J171" s="408">
        <v>0</v>
      </c>
      <c r="K171" s="408">
        <v>0</v>
      </c>
    </row>
    <row r="172" spans="1:11">
      <c r="A172" s="284" t="s">
        <v>58</v>
      </c>
      <c r="B172" s="408">
        <v>0</v>
      </c>
      <c r="C172" s="408">
        <v>0</v>
      </c>
      <c r="D172" s="408">
        <v>0</v>
      </c>
      <c r="E172" s="408">
        <v>0</v>
      </c>
      <c r="F172" s="408">
        <v>0.4</v>
      </c>
      <c r="G172" s="408">
        <v>7.2</v>
      </c>
      <c r="H172" s="408">
        <v>18.7</v>
      </c>
      <c r="I172" s="408">
        <v>61.1</v>
      </c>
      <c r="J172" s="408">
        <v>71.7</v>
      </c>
      <c r="K172" s="408">
        <v>55</v>
      </c>
    </row>
    <row r="173" spans="1:11">
      <c r="A173" s="284" t="s">
        <v>29</v>
      </c>
      <c r="B173" s="408">
        <v>25</v>
      </c>
      <c r="C173" s="408">
        <v>37</v>
      </c>
      <c r="D173" s="408">
        <v>41</v>
      </c>
      <c r="E173" s="408">
        <v>61</v>
      </c>
      <c r="F173" s="408">
        <v>82.853999999999999</v>
      </c>
      <c r="G173" s="408">
        <v>70.5</v>
      </c>
      <c r="H173" s="408">
        <v>66</v>
      </c>
      <c r="I173" s="408">
        <v>76</v>
      </c>
      <c r="J173" s="408">
        <v>77.38</v>
      </c>
      <c r="K173" s="408">
        <v>65.5</v>
      </c>
    </row>
    <row r="174" spans="1:11">
      <c r="A174" s="284" t="s">
        <v>1304</v>
      </c>
      <c r="B174" s="408">
        <v>44.7</v>
      </c>
      <c r="C174" s="408">
        <v>38.799999999999997</v>
      </c>
      <c r="D174" s="408">
        <v>44.8</v>
      </c>
      <c r="E174" s="408">
        <v>117.5</v>
      </c>
      <c r="F174" s="408">
        <v>187.63752858474561</v>
      </c>
      <c r="G174" s="408">
        <v>210.35116198367149</v>
      </c>
      <c r="H174" s="408">
        <v>310.56969239923308</v>
      </c>
      <c r="I174" s="408">
        <v>122.51427207801396</v>
      </c>
      <c r="J174" s="408">
        <v>153.70000000000005</v>
      </c>
      <c r="K174" s="408">
        <v>134.69999999999999</v>
      </c>
    </row>
    <row r="175" spans="1:11">
      <c r="A175" s="284" t="s">
        <v>28</v>
      </c>
      <c r="B175" s="408">
        <v>8.4999999999999716</v>
      </c>
      <c r="C175" s="408">
        <v>13.449999999999909</v>
      </c>
      <c r="D175" s="408">
        <v>15.800000000000034</v>
      </c>
      <c r="E175" s="408">
        <v>24.704909000000082</v>
      </c>
      <c r="F175" s="408">
        <v>43.731773967721637</v>
      </c>
      <c r="G175" s="408">
        <v>71.316146999999845</v>
      </c>
      <c r="H175" s="408">
        <v>111.84994000000029</v>
      </c>
      <c r="I175" s="408">
        <v>194.43356399999965</v>
      </c>
      <c r="J175" s="408">
        <v>225.01047758850763</v>
      </c>
      <c r="K175" s="408">
        <v>239.75973199999967</v>
      </c>
    </row>
    <row r="176" spans="1:11">
      <c r="A176" s="404" t="s">
        <v>30</v>
      </c>
      <c r="B176" s="409">
        <f t="shared" ref="B176:J176" si="38">SUM(B140:B175)</f>
        <v>1192.5720000000001</v>
      </c>
      <c r="C176" s="409">
        <f t="shared" si="38"/>
        <v>1262.845</v>
      </c>
      <c r="D176" s="409">
        <f t="shared" si="38"/>
        <v>1286.7919999999999</v>
      </c>
      <c r="E176" s="409">
        <f t="shared" si="38"/>
        <v>1552.8632929999999</v>
      </c>
      <c r="F176" s="409">
        <f t="shared" si="38"/>
        <v>1773.962087713435</v>
      </c>
      <c r="G176" s="409">
        <f t="shared" si="38"/>
        <v>1820.5219436119505</v>
      </c>
      <c r="H176" s="409">
        <f t="shared" si="38"/>
        <v>1954.6235726894463</v>
      </c>
      <c r="I176" s="409">
        <f t="shared" si="38"/>
        <v>1924.2627769999997</v>
      </c>
      <c r="J176" s="409">
        <f t="shared" si="38"/>
        <v>1898.2796514113434</v>
      </c>
      <c r="K176" s="409">
        <f>SUM(K140:K175)</f>
        <v>1793.6522089999996</v>
      </c>
    </row>
    <row r="177" spans="1:24">
      <c r="A177" s="8"/>
      <c r="B177" s="8"/>
      <c r="C177" s="8"/>
      <c r="D177" s="8"/>
      <c r="E177" s="8"/>
      <c r="F177" s="8"/>
      <c r="G177" s="8"/>
      <c r="H177" s="8"/>
      <c r="I177" s="8"/>
      <c r="J177" s="8"/>
      <c r="K177" s="8"/>
    </row>
    <row r="178" spans="1:24">
      <c r="A178" s="284" t="s">
        <v>1329</v>
      </c>
      <c r="B178" s="8"/>
      <c r="C178" s="8"/>
      <c r="D178" s="8"/>
      <c r="E178" s="8"/>
      <c r="F178" s="8"/>
      <c r="G178" s="8"/>
      <c r="H178" s="8"/>
      <c r="I178" s="8"/>
      <c r="J178" s="8"/>
      <c r="K178" s="8"/>
    </row>
    <row r="181" spans="1:24" s="8" customFormat="1">
      <c r="A181" s="9" t="s">
        <v>1346</v>
      </c>
      <c r="B181" s="283"/>
      <c r="C181" s="283"/>
      <c r="D181" s="283"/>
      <c r="M181" s="283"/>
      <c r="X181" s="283"/>
    </row>
    <row r="182" spans="1:24" s="8" customFormat="1" outlineLevel="1">
      <c r="B182" s="9"/>
      <c r="C182" s="569" t="s">
        <v>1347</v>
      </c>
      <c r="D182" s="569"/>
      <c r="E182" s="569"/>
      <c r="F182" s="569"/>
      <c r="G182" s="569"/>
      <c r="H182" s="569"/>
      <c r="I182" s="569"/>
      <c r="J182" s="569"/>
      <c r="K182" s="569"/>
      <c r="L182" s="569"/>
      <c r="M182" s="569"/>
      <c r="N182" s="569" t="s">
        <v>1345</v>
      </c>
      <c r="O182" s="569"/>
      <c r="P182" s="569"/>
      <c r="Q182" s="569"/>
      <c r="R182" s="569"/>
      <c r="S182" s="569"/>
      <c r="T182" s="569"/>
      <c r="U182" s="569"/>
      <c r="V182" s="569"/>
      <c r="W182" s="569"/>
      <c r="X182" s="569"/>
    </row>
    <row r="183" spans="1:24" s="8" customFormat="1" outlineLevel="1">
      <c r="C183" s="410">
        <v>1</v>
      </c>
      <c r="D183" s="441">
        <f>C183+1</f>
        <v>2</v>
      </c>
      <c r="E183" s="441">
        <f t="shared" ref="E183:L184" si="39">D183+1</f>
        <v>3</v>
      </c>
      <c r="F183" s="441">
        <f t="shared" si="39"/>
        <v>4</v>
      </c>
      <c r="G183" s="441">
        <f t="shared" si="39"/>
        <v>5</v>
      </c>
      <c r="H183" s="441">
        <f t="shared" si="39"/>
        <v>6</v>
      </c>
      <c r="I183" s="441">
        <f t="shared" si="39"/>
        <v>7</v>
      </c>
      <c r="J183" s="441">
        <f t="shared" si="39"/>
        <v>8</v>
      </c>
      <c r="K183" s="441">
        <f t="shared" si="39"/>
        <v>9</v>
      </c>
      <c r="L183" s="441">
        <f t="shared" si="39"/>
        <v>10</v>
      </c>
      <c r="M183" s="283"/>
      <c r="X183" s="283"/>
    </row>
    <row r="184" spans="1:24" s="8" customFormat="1" outlineLevel="1">
      <c r="A184" s="8">
        <v>1</v>
      </c>
      <c r="B184" s="8" t="str">
        <f>A140</f>
        <v>Acer Group</v>
      </c>
      <c r="C184" s="80">
        <v>2007</v>
      </c>
      <c r="D184" s="66">
        <f>C184+1</f>
        <v>2008</v>
      </c>
      <c r="E184" s="66">
        <f t="shared" si="39"/>
        <v>2009</v>
      </c>
      <c r="F184" s="66">
        <f t="shared" si="39"/>
        <v>2010</v>
      </c>
      <c r="G184" s="66">
        <f t="shared" si="39"/>
        <v>2011</v>
      </c>
      <c r="H184" s="66">
        <f t="shared" si="39"/>
        <v>2012</v>
      </c>
      <c r="I184" s="66">
        <f t="shared" si="39"/>
        <v>2013</v>
      </c>
      <c r="J184" s="66">
        <f t="shared" si="39"/>
        <v>2014</v>
      </c>
      <c r="K184" s="66">
        <f t="shared" si="39"/>
        <v>2015</v>
      </c>
      <c r="L184" s="66">
        <f t="shared" si="39"/>
        <v>2016</v>
      </c>
      <c r="M184" s="283"/>
      <c r="N184" s="168">
        <f t="shared" ref="N184:W184" si="40">C184</f>
        <v>2007</v>
      </c>
      <c r="O184" s="66">
        <f t="shared" si="40"/>
        <v>2008</v>
      </c>
      <c r="P184" s="66">
        <f t="shared" si="40"/>
        <v>2009</v>
      </c>
      <c r="Q184" s="66">
        <f t="shared" si="40"/>
        <v>2010</v>
      </c>
      <c r="R184" s="66">
        <f t="shared" si="40"/>
        <v>2011</v>
      </c>
      <c r="S184" s="66">
        <f t="shared" si="40"/>
        <v>2012</v>
      </c>
      <c r="T184" s="66">
        <f t="shared" si="40"/>
        <v>2013</v>
      </c>
      <c r="U184" s="66">
        <f t="shared" si="40"/>
        <v>2014</v>
      </c>
      <c r="V184" s="66">
        <f t="shared" si="40"/>
        <v>2015</v>
      </c>
      <c r="W184" s="66">
        <f t="shared" si="40"/>
        <v>2016</v>
      </c>
      <c r="X184" s="283"/>
    </row>
    <row r="185" spans="1:24" s="8" customFormat="1" outlineLevel="2">
      <c r="B185" s="8" t="s">
        <v>1348</v>
      </c>
      <c r="C185" s="411">
        <f t="shared" ref="C185:L185" si="41">VLOOKUP($B184,$A$140:$K$175,C$183+1,FALSE)</f>
        <v>0</v>
      </c>
      <c r="D185" s="412">
        <f t="shared" si="41"/>
        <v>0</v>
      </c>
      <c r="E185" s="412">
        <f t="shared" si="41"/>
        <v>0</v>
      </c>
      <c r="F185" s="412">
        <f t="shared" si="41"/>
        <v>2.14E-3</v>
      </c>
      <c r="G185" s="412">
        <f t="shared" si="41"/>
        <v>2.0016419999999995</v>
      </c>
      <c r="H185" s="412">
        <f t="shared" si="41"/>
        <v>1.4957819999999999</v>
      </c>
      <c r="I185" s="412">
        <f t="shared" si="41"/>
        <v>4.8557310000000005</v>
      </c>
      <c r="J185" s="412">
        <f t="shared" si="41"/>
        <v>4.5479820000000011</v>
      </c>
      <c r="K185" s="412">
        <f t="shared" si="41"/>
        <v>3.4391179999999997</v>
      </c>
      <c r="L185" s="412">
        <f t="shared" si="41"/>
        <v>2.9041289999999993</v>
      </c>
      <c r="M185" s="283"/>
      <c r="N185" s="283"/>
      <c r="X185" s="283"/>
    </row>
    <row r="186" spans="1:24" s="8" customFormat="1" outlineLevel="2">
      <c r="C186" s="413"/>
      <c r="D186" s="414"/>
      <c r="E186" s="414"/>
      <c r="F186" s="414"/>
      <c r="G186" s="414"/>
      <c r="H186" s="414"/>
      <c r="I186" s="414"/>
      <c r="J186" s="414"/>
      <c r="K186" s="414"/>
      <c r="L186" s="414"/>
      <c r="M186" s="283"/>
      <c r="N186" s="283"/>
      <c r="X186" s="283"/>
    </row>
    <row r="187" spans="1:24" s="8" customFormat="1" outlineLevel="2">
      <c r="A187" s="66" t="s">
        <v>1349</v>
      </c>
      <c r="B187" s="66" t="s">
        <v>1350</v>
      </c>
      <c r="C187" s="415"/>
      <c r="F187" s="9"/>
      <c r="M187" s="283"/>
      <c r="N187" s="283"/>
      <c r="X187" s="283"/>
    </row>
    <row r="188" spans="1:24" s="8" customFormat="1" outlineLevel="2">
      <c r="A188" s="416">
        <f>D$51</f>
        <v>0.5</v>
      </c>
      <c r="B188" s="416">
        <f>B$51</f>
        <v>0.98</v>
      </c>
      <c r="C188" s="411">
        <f>IF(C$185&gt;$A188,$A188,C$185)</f>
        <v>0</v>
      </c>
      <c r="D188" s="416">
        <f t="shared" ref="D188:L188" si="42">IF(D$185&gt;$A188,$A188,D$185)</f>
        <v>0</v>
      </c>
      <c r="E188" s="416">
        <f t="shared" si="42"/>
        <v>0</v>
      </c>
      <c r="F188" s="416">
        <f t="shared" si="42"/>
        <v>2.14E-3</v>
      </c>
      <c r="G188" s="416">
        <f t="shared" si="42"/>
        <v>0.5</v>
      </c>
      <c r="H188" s="416">
        <f t="shared" si="42"/>
        <v>0.5</v>
      </c>
      <c r="I188" s="416">
        <f t="shared" si="42"/>
        <v>0.5</v>
      </c>
      <c r="J188" s="416">
        <f t="shared" si="42"/>
        <v>0.5</v>
      </c>
      <c r="K188" s="416">
        <f t="shared" si="42"/>
        <v>0.5</v>
      </c>
      <c r="L188" s="416">
        <f t="shared" si="42"/>
        <v>0.5</v>
      </c>
      <c r="M188" s="283"/>
      <c r="N188" s="405">
        <f t="shared" ref="N188:W196" si="43">C188*$B188</f>
        <v>0</v>
      </c>
      <c r="O188" s="95">
        <f t="shared" si="43"/>
        <v>0</v>
      </c>
      <c r="P188" s="95">
        <f t="shared" si="43"/>
        <v>0</v>
      </c>
      <c r="Q188" s="95">
        <f t="shared" si="43"/>
        <v>2.0972E-3</v>
      </c>
      <c r="R188" s="95">
        <f t="shared" si="43"/>
        <v>0.49</v>
      </c>
      <c r="S188" s="95">
        <f t="shared" si="43"/>
        <v>0.49</v>
      </c>
      <c r="T188" s="95">
        <f t="shared" si="43"/>
        <v>0.49</v>
      </c>
      <c r="U188" s="95">
        <f t="shared" si="43"/>
        <v>0.49</v>
      </c>
      <c r="V188" s="95">
        <f t="shared" si="43"/>
        <v>0.49</v>
      </c>
      <c r="W188" s="95">
        <f t="shared" si="43"/>
        <v>0.49</v>
      </c>
      <c r="X188" s="283"/>
    </row>
    <row r="189" spans="1:24" s="8" customFormat="1" outlineLevel="2">
      <c r="A189" s="416">
        <f>D$52</f>
        <v>1</v>
      </c>
      <c r="B189" s="416">
        <f>B$52</f>
        <v>0.78</v>
      </c>
      <c r="C189" s="411">
        <f>IF(C$185&gt;$A189,$A189-$A188,C$185-SUM(C188:C$188))</f>
        <v>0</v>
      </c>
      <c r="D189" s="416">
        <f>IF(D$185&gt;$A189,$A189-$A188,D$185-SUM(D188:D$188))</f>
        <v>0</v>
      </c>
      <c r="E189" s="416">
        <f>IF(E$185&gt;$A189,$A189-$A188,E$185-SUM(E188:E$188))</f>
        <v>0</v>
      </c>
      <c r="F189" s="416">
        <f>IF(F$185&gt;$A189,$A189-$A188,F$185-SUM(F188:F$188))</f>
        <v>0</v>
      </c>
      <c r="G189" s="416">
        <f>IF(G$185&gt;$A189,$A189-$A188,G$185-SUM(G188:G$188))</f>
        <v>0.5</v>
      </c>
      <c r="H189" s="416">
        <f>IF(H$185&gt;$A189,$A189-$A188,H$185-SUM(H188:H$188))</f>
        <v>0.5</v>
      </c>
      <c r="I189" s="416">
        <f>IF(I$185&gt;$A189,$A189-$A188,I$185-SUM(I188:I$188))</f>
        <v>0.5</v>
      </c>
      <c r="J189" s="416">
        <f>IF(J$185&gt;$A189,$A189-$A188,J$185-SUM(J188:J$188))</f>
        <v>0.5</v>
      </c>
      <c r="K189" s="416">
        <f>IF(K$185&gt;$A189,$A189-$A188,K$185-SUM(K188:K$188))</f>
        <v>0.5</v>
      </c>
      <c r="L189" s="416">
        <f>IF(L$185&gt;$A189,$A189-$A188,L$185-SUM(L188:L$188))</f>
        <v>0.5</v>
      </c>
      <c r="M189" s="283"/>
      <c r="N189" s="405">
        <f t="shared" si="43"/>
        <v>0</v>
      </c>
      <c r="O189" s="95">
        <f t="shared" si="43"/>
        <v>0</v>
      </c>
      <c r="P189" s="95">
        <f t="shared" si="43"/>
        <v>0</v>
      </c>
      <c r="Q189" s="95">
        <f t="shared" si="43"/>
        <v>0</v>
      </c>
      <c r="R189" s="95">
        <f t="shared" si="43"/>
        <v>0.39</v>
      </c>
      <c r="S189" s="95">
        <f t="shared" si="43"/>
        <v>0.39</v>
      </c>
      <c r="T189" s="95">
        <f t="shared" si="43"/>
        <v>0.39</v>
      </c>
      <c r="U189" s="95">
        <f t="shared" si="43"/>
        <v>0.39</v>
      </c>
      <c r="V189" s="95">
        <f t="shared" si="43"/>
        <v>0.39</v>
      </c>
      <c r="W189" s="95">
        <f t="shared" si="43"/>
        <v>0.39</v>
      </c>
      <c r="X189" s="283"/>
    </row>
    <row r="190" spans="1:24" s="8" customFormat="1" outlineLevel="2">
      <c r="A190" s="416">
        <f>D$53</f>
        <v>2</v>
      </c>
      <c r="B190" s="416">
        <f>B$53</f>
        <v>0.68</v>
      </c>
      <c r="C190" s="411">
        <f>IF(C$185&gt;$A190,$A190-$A189,C$185-SUM(C$188:C189))</f>
        <v>0</v>
      </c>
      <c r="D190" s="416">
        <f>IF(D$185&gt;$A190,$A190-$A189,D$185-SUM(D$188:D189))</f>
        <v>0</v>
      </c>
      <c r="E190" s="416">
        <f>IF(E$185&gt;$A190,$A190-$A189,E$185-SUM(E$188:E189))</f>
        <v>0</v>
      </c>
      <c r="F190" s="416">
        <f>IF(F$185&gt;$A190,$A190-$A189,F$185-SUM(F$188:F189))</f>
        <v>0</v>
      </c>
      <c r="G190" s="416">
        <f>IF(G$185&gt;$A190,$A190-$A189,G$185-SUM(G$188:G189))</f>
        <v>1</v>
      </c>
      <c r="H190" s="416">
        <f>IF(H$185&gt;$A190,$A190-$A189,H$185-SUM(H$188:H189))</f>
        <v>0.49578199999999994</v>
      </c>
      <c r="I190" s="416">
        <f>IF(I$185&gt;$A190,$A190-$A189,I$185-SUM(I$188:I189))</f>
        <v>1</v>
      </c>
      <c r="J190" s="416">
        <f>IF(J$185&gt;$A190,$A190-$A189,J$185-SUM(J$188:J189))</f>
        <v>1</v>
      </c>
      <c r="K190" s="416">
        <f>IF(K$185&gt;$A190,$A190-$A189,K$185-SUM(K$188:K189))</f>
        <v>1</v>
      </c>
      <c r="L190" s="416">
        <f>IF(L$185&gt;$A190,$A190-$A189,L$185-SUM(L$188:L189))</f>
        <v>1</v>
      </c>
      <c r="M190" s="283"/>
      <c r="N190" s="405">
        <f t="shared" si="43"/>
        <v>0</v>
      </c>
      <c r="O190" s="95">
        <f t="shared" si="43"/>
        <v>0</v>
      </c>
      <c r="P190" s="95">
        <f t="shared" si="43"/>
        <v>0</v>
      </c>
      <c r="Q190" s="95">
        <f t="shared" si="43"/>
        <v>0</v>
      </c>
      <c r="R190" s="95">
        <f t="shared" si="43"/>
        <v>0.68</v>
      </c>
      <c r="S190" s="95">
        <f t="shared" si="43"/>
        <v>0.33713176</v>
      </c>
      <c r="T190" s="95">
        <f t="shared" si="43"/>
        <v>0.68</v>
      </c>
      <c r="U190" s="95">
        <f t="shared" si="43"/>
        <v>0.68</v>
      </c>
      <c r="V190" s="95">
        <f t="shared" si="43"/>
        <v>0.68</v>
      </c>
      <c r="W190" s="95">
        <f t="shared" si="43"/>
        <v>0.68</v>
      </c>
      <c r="X190" s="283"/>
    </row>
    <row r="191" spans="1:24" s="8" customFormat="1" outlineLevel="2">
      <c r="A191" s="416">
        <f>D$54</f>
        <v>5</v>
      </c>
      <c r="B191" s="416">
        <f>B$54</f>
        <v>0.45</v>
      </c>
      <c r="C191" s="411">
        <f>IF(C$185&gt;$A191,$A191-$A190,C$185-SUM(C$188:C190))</f>
        <v>0</v>
      </c>
      <c r="D191" s="416">
        <f>IF(D$185&gt;$A191,$A191-$A190,D$185-SUM(D$188:D190))</f>
        <v>0</v>
      </c>
      <c r="E191" s="416">
        <f>IF(E$185&gt;$A191,$A191-$A190,E$185-SUM(E$188:E190))</f>
        <v>0</v>
      </c>
      <c r="F191" s="416">
        <f>IF(F$185&gt;$A191,$A191-$A190,F$185-SUM(F$188:F190))</f>
        <v>0</v>
      </c>
      <c r="G191" s="416">
        <f>IF(G$185&gt;$A191,$A191-$A190,G$185-SUM(G$188:G190))</f>
        <v>1.6419999999994772E-3</v>
      </c>
      <c r="H191" s="416">
        <f>IF(H$185&gt;$A191,$A191-$A190,H$185-SUM(H$188:H190))</f>
        <v>0</v>
      </c>
      <c r="I191" s="416">
        <f>IF(I$185&gt;$A191,$A191-$A190,I$185-SUM(I$188:I190))</f>
        <v>2.8557310000000005</v>
      </c>
      <c r="J191" s="416">
        <f>IF(J$185&gt;$A191,$A191-$A190,J$185-SUM(J$188:J190))</f>
        <v>2.5479820000000011</v>
      </c>
      <c r="K191" s="416">
        <f>IF(K$185&gt;$A191,$A191-$A190,K$185-SUM(K$188:K190))</f>
        <v>1.4391179999999997</v>
      </c>
      <c r="L191" s="416">
        <f>IF(L$185&gt;$A191,$A191-$A190,L$185-SUM(L$188:L190))</f>
        <v>0.90412899999999929</v>
      </c>
      <c r="M191" s="283"/>
      <c r="N191" s="405">
        <f t="shared" si="43"/>
        <v>0</v>
      </c>
      <c r="O191" s="95">
        <f t="shared" si="43"/>
        <v>0</v>
      </c>
      <c r="P191" s="95">
        <f t="shared" si="43"/>
        <v>0</v>
      </c>
      <c r="Q191" s="95">
        <f t="shared" si="43"/>
        <v>0</v>
      </c>
      <c r="R191" s="95">
        <f t="shared" si="43"/>
        <v>7.3889999999976474E-4</v>
      </c>
      <c r="S191" s="95">
        <f t="shared" si="43"/>
        <v>0</v>
      </c>
      <c r="T191" s="95">
        <f t="shared" si="43"/>
        <v>1.2850789500000002</v>
      </c>
      <c r="U191" s="95">
        <f t="shared" si="43"/>
        <v>1.1465919000000004</v>
      </c>
      <c r="V191" s="95">
        <f t="shared" si="43"/>
        <v>0.64760309999999988</v>
      </c>
      <c r="W191" s="95">
        <f t="shared" si="43"/>
        <v>0.40685804999999969</v>
      </c>
      <c r="X191" s="283"/>
    </row>
    <row r="192" spans="1:24" s="8" customFormat="1" outlineLevel="2">
      <c r="A192" s="416">
        <f>D$55</f>
        <v>10</v>
      </c>
      <c r="B192" s="416">
        <f>B$55</f>
        <v>0.42</v>
      </c>
      <c r="C192" s="411">
        <f>IF(C$185&gt;$A192,$A192-$A191,C$185-SUM(C$188:C191))</f>
        <v>0</v>
      </c>
      <c r="D192" s="416">
        <f>IF(D$185&gt;$A192,$A192-$A191,D$185-SUM(D$188:D191))</f>
        <v>0</v>
      </c>
      <c r="E192" s="416">
        <f>IF(E$185&gt;$A192,$A192-$A191,E$185-SUM(E$188:E191))</f>
        <v>0</v>
      </c>
      <c r="F192" s="416">
        <f>IF(F$185&gt;$A192,$A192-$A191,F$185-SUM(F$188:F191))</f>
        <v>0</v>
      </c>
      <c r="G192" s="416">
        <f>IF(G$185&gt;$A192,$A192-$A191,G$185-SUM(G$188:G191))</f>
        <v>0</v>
      </c>
      <c r="H192" s="416">
        <f>IF(H$185&gt;$A192,$A192-$A191,H$185-SUM(H$188:H191))</f>
        <v>0</v>
      </c>
      <c r="I192" s="416">
        <f>IF(I$185&gt;$A192,$A192-$A191,I$185-SUM(I$188:I191))</f>
        <v>0</v>
      </c>
      <c r="J192" s="416">
        <f>IF(J$185&gt;$A192,$A192-$A191,J$185-SUM(J$188:J191))</f>
        <v>0</v>
      </c>
      <c r="K192" s="416">
        <f>IF(K$185&gt;$A192,$A192-$A191,K$185-SUM(K$188:K191))</f>
        <v>0</v>
      </c>
      <c r="L192" s="416">
        <f>IF(L$185&gt;$A192,$A192-$A191,L$185-SUM(L$188:L191))</f>
        <v>0</v>
      </c>
      <c r="M192" s="283"/>
      <c r="N192" s="405">
        <f t="shared" si="43"/>
        <v>0</v>
      </c>
      <c r="O192" s="95">
        <f t="shared" si="43"/>
        <v>0</v>
      </c>
      <c r="P192" s="95">
        <f t="shared" si="43"/>
        <v>0</v>
      </c>
      <c r="Q192" s="95">
        <f t="shared" si="43"/>
        <v>0</v>
      </c>
      <c r="R192" s="95">
        <f t="shared" si="43"/>
        <v>0</v>
      </c>
      <c r="S192" s="95">
        <f t="shared" si="43"/>
        <v>0</v>
      </c>
      <c r="T192" s="95">
        <f t="shared" si="43"/>
        <v>0</v>
      </c>
      <c r="U192" s="95">
        <f t="shared" si="43"/>
        <v>0</v>
      </c>
      <c r="V192" s="95">
        <f t="shared" si="43"/>
        <v>0</v>
      </c>
      <c r="W192" s="95">
        <f t="shared" si="43"/>
        <v>0</v>
      </c>
      <c r="X192" s="283"/>
    </row>
    <row r="193" spans="1:24" s="8" customFormat="1" outlineLevel="2">
      <c r="A193" s="416">
        <f>D$56</f>
        <v>20</v>
      </c>
      <c r="B193" s="416">
        <f>B$56</f>
        <v>0.22</v>
      </c>
      <c r="C193" s="411">
        <f>IF(C$185&gt;$A193,$A193-$A192,C$185-SUM(C$188:C192))</f>
        <v>0</v>
      </c>
      <c r="D193" s="416">
        <f>IF(D$185&gt;$A193,$A193-$A192,D$185-SUM(D$188:D192))</f>
        <v>0</v>
      </c>
      <c r="E193" s="416">
        <f>IF(E$185&gt;$A193,$A193-$A192,E$185-SUM(E$188:E192))</f>
        <v>0</v>
      </c>
      <c r="F193" s="416">
        <f>IF(F$185&gt;$A193,$A193-$A192,F$185-SUM(F$188:F192))</f>
        <v>0</v>
      </c>
      <c r="G193" s="416">
        <f>IF(G$185&gt;$A193,$A193-$A192,G$185-SUM(G$188:G192))</f>
        <v>0</v>
      </c>
      <c r="H193" s="416">
        <f>IF(H$185&gt;$A193,$A193-$A192,H$185-SUM(H$188:H192))</f>
        <v>0</v>
      </c>
      <c r="I193" s="416">
        <f>IF(I$185&gt;$A193,$A193-$A192,I$185-SUM(I$188:I192))</f>
        <v>0</v>
      </c>
      <c r="J193" s="416">
        <f>IF(J$185&gt;$A193,$A193-$A192,J$185-SUM(J$188:J192))</f>
        <v>0</v>
      </c>
      <c r="K193" s="416">
        <f>IF(K$185&gt;$A193,$A193-$A192,K$185-SUM(K$188:K192))</f>
        <v>0</v>
      </c>
      <c r="L193" s="416">
        <f>IF(L$185&gt;$A193,$A193-$A192,L$185-SUM(L$188:L192))</f>
        <v>0</v>
      </c>
      <c r="M193" s="283"/>
      <c r="N193" s="405">
        <f t="shared" si="43"/>
        <v>0</v>
      </c>
      <c r="O193" s="95">
        <f t="shared" si="43"/>
        <v>0</v>
      </c>
      <c r="P193" s="95">
        <f t="shared" si="43"/>
        <v>0</v>
      </c>
      <c r="Q193" s="95">
        <f t="shared" si="43"/>
        <v>0</v>
      </c>
      <c r="R193" s="95">
        <f t="shared" si="43"/>
        <v>0</v>
      </c>
      <c r="S193" s="95">
        <f t="shared" si="43"/>
        <v>0</v>
      </c>
      <c r="T193" s="95">
        <f t="shared" si="43"/>
        <v>0</v>
      </c>
      <c r="U193" s="95">
        <f t="shared" si="43"/>
        <v>0</v>
      </c>
      <c r="V193" s="95">
        <f t="shared" si="43"/>
        <v>0</v>
      </c>
      <c r="W193" s="95">
        <f t="shared" si="43"/>
        <v>0</v>
      </c>
      <c r="X193" s="283"/>
    </row>
    <row r="194" spans="1:24" s="8" customFormat="1" outlineLevel="2">
      <c r="A194" s="416">
        <f>D$57</f>
        <v>50</v>
      </c>
      <c r="B194" s="416">
        <f>B$57</f>
        <v>0.2</v>
      </c>
      <c r="C194" s="411">
        <f>IF(C$185&gt;$A194,$A194-$A193,C$185-SUM(C$188:C193))</f>
        <v>0</v>
      </c>
      <c r="D194" s="416">
        <f>IF(D$185&gt;$A194,$A194-$A193,D$185-SUM(D$188:D193))</f>
        <v>0</v>
      </c>
      <c r="E194" s="416">
        <f>IF(E$185&gt;$A194,$A194-$A193,E$185-SUM(E$188:E193))</f>
        <v>0</v>
      </c>
      <c r="F194" s="416">
        <f>IF(F$185&gt;$A194,$A194-$A193,F$185-SUM(F$188:F193))</f>
        <v>0</v>
      </c>
      <c r="G194" s="416">
        <f>IF(G$185&gt;$A194,$A194-$A193,G$185-SUM(G$188:G193))</f>
        <v>0</v>
      </c>
      <c r="H194" s="416">
        <f>IF(H$185&gt;$A194,$A194-$A193,H$185-SUM(H$188:H193))</f>
        <v>0</v>
      </c>
      <c r="I194" s="416">
        <f>IF(I$185&gt;$A194,$A194-$A193,I$185-SUM(I$188:I193))</f>
        <v>0</v>
      </c>
      <c r="J194" s="416">
        <f>IF(J$185&gt;$A194,$A194-$A193,J$185-SUM(J$188:J193))</f>
        <v>0</v>
      </c>
      <c r="K194" s="416">
        <f>IF(K$185&gt;$A194,$A194-$A193,K$185-SUM(K$188:K193))</f>
        <v>0</v>
      </c>
      <c r="L194" s="416">
        <f>IF(L$185&gt;$A194,$A194-$A193,L$185-SUM(L$188:L193))</f>
        <v>0</v>
      </c>
      <c r="M194" s="283"/>
      <c r="N194" s="405">
        <f t="shared" si="43"/>
        <v>0</v>
      </c>
      <c r="O194" s="95">
        <f t="shared" si="43"/>
        <v>0</v>
      </c>
      <c r="P194" s="95">
        <f t="shared" si="43"/>
        <v>0</v>
      </c>
      <c r="Q194" s="95">
        <f t="shared" si="43"/>
        <v>0</v>
      </c>
      <c r="R194" s="95">
        <f t="shared" si="43"/>
        <v>0</v>
      </c>
      <c r="S194" s="95">
        <f t="shared" si="43"/>
        <v>0</v>
      </c>
      <c r="T194" s="95">
        <f t="shared" si="43"/>
        <v>0</v>
      </c>
      <c r="U194" s="95">
        <f t="shared" si="43"/>
        <v>0</v>
      </c>
      <c r="V194" s="95">
        <f t="shared" si="43"/>
        <v>0</v>
      </c>
      <c r="W194" s="95">
        <f t="shared" si="43"/>
        <v>0</v>
      </c>
      <c r="X194" s="283"/>
    </row>
    <row r="195" spans="1:24" s="8" customFormat="1" outlineLevel="2">
      <c r="A195" s="416">
        <f>D$58</f>
        <v>75</v>
      </c>
      <c r="B195" s="416">
        <f>B$58</f>
        <v>0.15</v>
      </c>
      <c r="C195" s="411">
        <f>IF(C$185&gt;$A195,$A195-$A194,C$185-SUM(C$188:C194))</f>
        <v>0</v>
      </c>
      <c r="D195" s="416">
        <f>IF(D$185&gt;$A195,$A195-$A194,D$185-SUM(D$188:D194))</f>
        <v>0</v>
      </c>
      <c r="E195" s="416">
        <f>IF(E$185&gt;$A195,$A195-$A194,E$185-SUM(E$188:E194))</f>
        <v>0</v>
      </c>
      <c r="F195" s="416">
        <f>IF(F$185&gt;$A195,$A195-$A194,F$185-SUM(F$188:F194))</f>
        <v>0</v>
      </c>
      <c r="G195" s="416">
        <f>IF(G$185&gt;$A195,$A195-$A194,G$185-SUM(G$188:G194))</f>
        <v>0</v>
      </c>
      <c r="H195" s="416">
        <f>IF(H$185&gt;$A195,$A195-$A194,H$185-SUM(H$188:H194))</f>
        <v>0</v>
      </c>
      <c r="I195" s="416">
        <f>IF(I$185&gt;$A195,$A195-$A194,I$185-SUM(I$188:I194))</f>
        <v>0</v>
      </c>
      <c r="J195" s="416">
        <f>IF(J$185&gt;$A195,$A195-$A194,J$185-SUM(J$188:J194))</f>
        <v>0</v>
      </c>
      <c r="K195" s="416">
        <f>IF(K$185&gt;$A195,$A195-$A194,K$185-SUM(K$188:K194))</f>
        <v>0</v>
      </c>
      <c r="L195" s="416">
        <f>IF(L$185&gt;$A195,$A195-$A194,L$185-SUM(L$188:L194))</f>
        <v>0</v>
      </c>
      <c r="M195" s="283"/>
      <c r="N195" s="405">
        <f t="shared" si="43"/>
        <v>0</v>
      </c>
      <c r="O195" s="95">
        <f t="shared" si="43"/>
        <v>0</v>
      </c>
      <c r="P195" s="95">
        <f t="shared" si="43"/>
        <v>0</v>
      </c>
      <c r="Q195" s="95">
        <f t="shared" si="43"/>
        <v>0</v>
      </c>
      <c r="R195" s="95">
        <f t="shared" si="43"/>
        <v>0</v>
      </c>
      <c r="S195" s="95">
        <f t="shared" si="43"/>
        <v>0</v>
      </c>
      <c r="T195" s="95">
        <f t="shared" si="43"/>
        <v>0</v>
      </c>
      <c r="U195" s="95">
        <f t="shared" si="43"/>
        <v>0</v>
      </c>
      <c r="V195" s="95">
        <f t="shared" si="43"/>
        <v>0</v>
      </c>
      <c r="W195" s="95">
        <f t="shared" si="43"/>
        <v>0</v>
      </c>
      <c r="X195" s="283"/>
    </row>
    <row r="196" spans="1:24" s="8" customFormat="1" outlineLevel="2">
      <c r="A196" s="416">
        <f>D$59</f>
        <v>9999</v>
      </c>
      <c r="B196" s="416">
        <f>B$59</f>
        <v>0.1</v>
      </c>
      <c r="C196" s="411">
        <f>IF(C$185&gt;$A196,$A196-$A195,C$185-SUM(C$188:C195))</f>
        <v>0</v>
      </c>
      <c r="D196" s="416">
        <f>IF(D$185&gt;$A196,$A196-$A195,D$185-SUM(D$188:D195))</f>
        <v>0</v>
      </c>
      <c r="E196" s="416">
        <f>IF(E$185&gt;$A196,$A196-$A195,E$185-SUM(E$188:E195))</f>
        <v>0</v>
      </c>
      <c r="F196" s="416">
        <f>IF(F$185&gt;$A196,$A196-$A195,F$185-SUM(F$188:F195))</f>
        <v>0</v>
      </c>
      <c r="G196" s="416">
        <f>IF(G$185&gt;$A196,$A196-$A195,G$185-SUM(G$188:G195))</f>
        <v>0</v>
      </c>
      <c r="H196" s="416">
        <f>IF(H$185&gt;$A196,$A196-$A195,H$185-SUM(H$188:H195))</f>
        <v>0</v>
      </c>
      <c r="I196" s="416">
        <f>IF(I$185&gt;$A196,$A196-$A195,I$185-SUM(I$188:I195))</f>
        <v>0</v>
      </c>
      <c r="J196" s="416">
        <f>IF(J$185&gt;$A196,$A196-$A195,J$185-SUM(J$188:J195))</f>
        <v>0</v>
      </c>
      <c r="K196" s="416">
        <f>IF(K$185&gt;$A196,$A196-$A195,K$185-SUM(K$188:K195))</f>
        <v>0</v>
      </c>
      <c r="L196" s="416">
        <f>IF(L$185&gt;$A196,$A196-$A195,L$185-SUM(L$188:L195))</f>
        <v>0</v>
      </c>
      <c r="M196" s="283"/>
      <c r="N196" s="405">
        <f t="shared" si="43"/>
        <v>0</v>
      </c>
      <c r="O196" s="95">
        <f t="shared" si="43"/>
        <v>0</v>
      </c>
      <c r="P196" s="95">
        <f t="shared" si="43"/>
        <v>0</v>
      </c>
      <c r="Q196" s="95">
        <f t="shared" si="43"/>
        <v>0</v>
      </c>
      <c r="R196" s="95">
        <f t="shared" si="43"/>
        <v>0</v>
      </c>
      <c r="S196" s="95">
        <f t="shared" si="43"/>
        <v>0</v>
      </c>
      <c r="T196" s="95">
        <f t="shared" si="43"/>
        <v>0</v>
      </c>
      <c r="U196" s="95">
        <f t="shared" si="43"/>
        <v>0</v>
      </c>
      <c r="V196" s="95">
        <f t="shared" si="43"/>
        <v>0</v>
      </c>
      <c r="W196" s="95">
        <f t="shared" si="43"/>
        <v>0</v>
      </c>
      <c r="X196" s="283"/>
    </row>
    <row r="197" spans="1:24" s="8" customFormat="1" outlineLevel="1">
      <c r="A197" s="404"/>
      <c r="B197" s="417" t="str">
        <f>CONCATENATE(B184," Total")</f>
        <v>Acer Group Total</v>
      </c>
      <c r="C197" s="418">
        <f>SUM(C188:C196)</f>
        <v>0</v>
      </c>
      <c r="D197" s="419">
        <f t="shared" ref="D197:L197" si="44">SUM(D188:D196)</f>
        <v>0</v>
      </c>
      <c r="E197" s="419">
        <f t="shared" si="44"/>
        <v>0</v>
      </c>
      <c r="F197" s="419">
        <f t="shared" si="44"/>
        <v>2.14E-3</v>
      </c>
      <c r="G197" s="419">
        <f t="shared" si="44"/>
        <v>2.0016419999999995</v>
      </c>
      <c r="H197" s="419">
        <f t="shared" si="44"/>
        <v>1.4957819999999999</v>
      </c>
      <c r="I197" s="419">
        <f t="shared" si="44"/>
        <v>4.8557310000000005</v>
      </c>
      <c r="J197" s="419">
        <f t="shared" si="44"/>
        <v>4.5479820000000011</v>
      </c>
      <c r="K197" s="419">
        <f t="shared" si="44"/>
        <v>3.4391179999999997</v>
      </c>
      <c r="L197" s="419">
        <f t="shared" si="44"/>
        <v>2.9041289999999993</v>
      </c>
      <c r="M197" s="283"/>
      <c r="N197" s="420">
        <f>SUM(N188:N196)</f>
        <v>0</v>
      </c>
      <c r="O197" s="420">
        <f t="shared" ref="O197:W197" si="45">SUM(O188:O196)</f>
        <v>0</v>
      </c>
      <c r="P197" s="420">
        <f t="shared" si="45"/>
        <v>0</v>
      </c>
      <c r="Q197" s="420">
        <f t="shared" si="45"/>
        <v>2.0972E-3</v>
      </c>
      <c r="R197" s="420">
        <f t="shared" si="45"/>
        <v>1.5607388999999998</v>
      </c>
      <c r="S197" s="420">
        <f t="shared" si="45"/>
        <v>1.21713176</v>
      </c>
      <c r="T197" s="420">
        <f t="shared" si="45"/>
        <v>2.8450789500000004</v>
      </c>
      <c r="U197" s="420">
        <f t="shared" si="45"/>
        <v>2.7065919000000003</v>
      </c>
      <c r="V197" s="420">
        <f t="shared" si="45"/>
        <v>2.2076031</v>
      </c>
      <c r="W197" s="420">
        <f t="shared" si="45"/>
        <v>1.9668580499999997</v>
      </c>
      <c r="X197" s="283"/>
    </row>
    <row r="198" spans="1:24" s="8" customFormat="1" outlineLevel="1">
      <c r="B198" s="421" t="s">
        <v>778</v>
      </c>
      <c r="C198" s="422">
        <f t="shared" ref="C198:L198" si="46">C197-C185</f>
        <v>0</v>
      </c>
      <c r="D198" s="423">
        <f t="shared" si="46"/>
        <v>0</v>
      </c>
      <c r="E198" s="423">
        <f t="shared" si="46"/>
        <v>0</v>
      </c>
      <c r="F198" s="423">
        <f t="shared" si="46"/>
        <v>0</v>
      </c>
      <c r="G198" s="423">
        <f t="shared" si="46"/>
        <v>0</v>
      </c>
      <c r="H198" s="423">
        <f t="shared" si="46"/>
        <v>0</v>
      </c>
      <c r="I198" s="423">
        <f t="shared" si="46"/>
        <v>0</v>
      </c>
      <c r="J198" s="423">
        <f t="shared" si="46"/>
        <v>0</v>
      </c>
      <c r="K198" s="423">
        <f t="shared" si="46"/>
        <v>0</v>
      </c>
      <c r="L198" s="423">
        <f t="shared" si="46"/>
        <v>0</v>
      </c>
      <c r="M198" s="283"/>
      <c r="N198" s="283"/>
      <c r="O198" s="283"/>
      <c r="P198" s="283"/>
      <c r="Q198" s="283"/>
      <c r="R198" s="283"/>
      <c r="S198" s="283"/>
      <c r="T198" s="283"/>
      <c r="U198" s="283"/>
      <c r="V198" s="283"/>
      <c r="W198" s="283"/>
      <c r="X198" s="283"/>
    </row>
    <row r="199" spans="1:24" s="8" customFormat="1" outlineLevel="1">
      <c r="M199" s="283"/>
      <c r="X199" s="283"/>
    </row>
    <row r="200" spans="1:24" s="8" customFormat="1" outlineLevel="1" collapsed="1">
      <c r="A200" s="8">
        <f>A184+1</f>
        <v>2</v>
      </c>
      <c r="B200" s="8" t="str">
        <f>A141</f>
        <v>Amazon.com</v>
      </c>
      <c r="C200" s="80">
        <v>2007</v>
      </c>
      <c r="D200" s="66">
        <f>C200+1</f>
        <v>2008</v>
      </c>
      <c r="E200" s="66">
        <f t="shared" ref="E200:L200" si="47">D200+1</f>
        <v>2009</v>
      </c>
      <c r="F200" s="66">
        <f t="shared" si="47"/>
        <v>2010</v>
      </c>
      <c r="G200" s="66">
        <f t="shared" si="47"/>
        <v>2011</v>
      </c>
      <c r="H200" s="66">
        <f t="shared" si="47"/>
        <v>2012</v>
      </c>
      <c r="I200" s="66">
        <f t="shared" si="47"/>
        <v>2013</v>
      </c>
      <c r="J200" s="66">
        <f t="shared" si="47"/>
        <v>2014</v>
      </c>
      <c r="K200" s="66">
        <f t="shared" si="47"/>
        <v>2015</v>
      </c>
      <c r="L200" s="66">
        <f t="shared" si="47"/>
        <v>2016</v>
      </c>
      <c r="M200" s="283"/>
      <c r="N200" s="168">
        <f t="shared" ref="N200:W200" si="48">C200</f>
        <v>2007</v>
      </c>
      <c r="O200" s="66">
        <f t="shared" si="48"/>
        <v>2008</v>
      </c>
      <c r="P200" s="66">
        <f t="shared" si="48"/>
        <v>2009</v>
      </c>
      <c r="Q200" s="66">
        <f t="shared" si="48"/>
        <v>2010</v>
      </c>
      <c r="R200" s="66">
        <f t="shared" si="48"/>
        <v>2011</v>
      </c>
      <c r="S200" s="66">
        <f t="shared" si="48"/>
        <v>2012</v>
      </c>
      <c r="T200" s="66">
        <f t="shared" si="48"/>
        <v>2013</v>
      </c>
      <c r="U200" s="66">
        <f t="shared" si="48"/>
        <v>2014</v>
      </c>
      <c r="V200" s="66">
        <f t="shared" si="48"/>
        <v>2015</v>
      </c>
      <c r="W200" s="66">
        <f t="shared" si="48"/>
        <v>2016</v>
      </c>
      <c r="X200" s="283"/>
    </row>
    <row r="201" spans="1:24" s="8" customFormat="1" outlineLevel="2">
      <c r="B201" s="8" t="s">
        <v>1348</v>
      </c>
      <c r="C201" s="411">
        <f t="shared" ref="C201:L201" si="49">VLOOKUP($B200,$A$140:$K$175,C$183+1,FALSE)</f>
        <v>0</v>
      </c>
      <c r="D201" s="412">
        <f t="shared" si="49"/>
        <v>0</v>
      </c>
      <c r="E201" s="412">
        <f t="shared" si="49"/>
        <v>0</v>
      </c>
      <c r="F201" s="412">
        <f t="shared" si="49"/>
        <v>0</v>
      </c>
      <c r="G201" s="412">
        <f t="shared" si="49"/>
        <v>4.7484260000000003</v>
      </c>
      <c r="H201" s="412">
        <f t="shared" si="49"/>
        <v>10.436214</v>
      </c>
      <c r="I201" s="412">
        <f t="shared" si="49"/>
        <v>9.7793330000000047</v>
      </c>
      <c r="J201" s="412">
        <f t="shared" si="49"/>
        <v>3.4316469999999999</v>
      </c>
      <c r="K201" s="412">
        <f t="shared" si="49"/>
        <v>6.0887829999999967</v>
      </c>
      <c r="L201" s="412">
        <f t="shared" si="49"/>
        <v>12.106862</v>
      </c>
      <c r="M201" s="283"/>
      <c r="N201" s="283"/>
      <c r="X201" s="283"/>
    </row>
    <row r="202" spans="1:24" s="8" customFormat="1" outlineLevel="2">
      <c r="C202" s="413"/>
      <c r="D202" s="414"/>
      <c r="E202" s="414"/>
      <c r="F202" s="414"/>
      <c r="G202" s="414"/>
      <c r="H202" s="414"/>
      <c r="I202" s="414"/>
      <c r="J202" s="414"/>
      <c r="K202" s="414"/>
      <c r="L202" s="414"/>
      <c r="M202" s="283"/>
      <c r="N202" s="283"/>
      <c r="X202" s="283"/>
    </row>
    <row r="203" spans="1:24" s="8" customFormat="1" outlineLevel="2">
      <c r="A203" s="66" t="s">
        <v>1349</v>
      </c>
      <c r="B203" s="66" t="s">
        <v>1350</v>
      </c>
      <c r="C203" s="415"/>
      <c r="F203" s="9"/>
      <c r="M203" s="283"/>
      <c r="N203" s="283"/>
      <c r="X203" s="283"/>
    </row>
    <row r="204" spans="1:24" s="8" customFormat="1" outlineLevel="2">
      <c r="A204" s="416">
        <f>D$51</f>
        <v>0.5</v>
      </c>
      <c r="B204" s="416">
        <f>B$51</f>
        <v>0.98</v>
      </c>
      <c r="C204" s="411">
        <f>IF(C$201&gt;$A204,$A204,C$201)</f>
        <v>0</v>
      </c>
      <c r="D204" s="416">
        <f t="shared" ref="D204:L204" si="50">IF(D$201&gt;$A204,$A204,D$201)</f>
        <v>0</v>
      </c>
      <c r="E204" s="416">
        <f t="shared" si="50"/>
        <v>0</v>
      </c>
      <c r="F204" s="416">
        <f t="shared" si="50"/>
        <v>0</v>
      </c>
      <c r="G204" s="416">
        <f t="shared" si="50"/>
        <v>0.5</v>
      </c>
      <c r="H204" s="416">
        <f t="shared" si="50"/>
        <v>0.5</v>
      </c>
      <c r="I204" s="416">
        <f t="shared" si="50"/>
        <v>0.5</v>
      </c>
      <c r="J204" s="416">
        <f t="shared" si="50"/>
        <v>0.5</v>
      </c>
      <c r="K204" s="416">
        <f t="shared" si="50"/>
        <v>0.5</v>
      </c>
      <c r="L204" s="416">
        <f t="shared" si="50"/>
        <v>0.5</v>
      </c>
      <c r="M204" s="283"/>
      <c r="N204" s="405">
        <f t="shared" ref="N204:W212" si="51">C204*$B204</f>
        <v>0</v>
      </c>
      <c r="O204" s="95">
        <f t="shared" si="51"/>
        <v>0</v>
      </c>
      <c r="P204" s="95">
        <f t="shared" si="51"/>
        <v>0</v>
      </c>
      <c r="Q204" s="95">
        <f t="shared" si="51"/>
        <v>0</v>
      </c>
      <c r="R204" s="95">
        <f t="shared" si="51"/>
        <v>0.49</v>
      </c>
      <c r="S204" s="95">
        <f t="shared" si="51"/>
        <v>0.49</v>
      </c>
      <c r="T204" s="95">
        <f t="shared" si="51"/>
        <v>0.49</v>
      </c>
      <c r="U204" s="95">
        <f t="shared" si="51"/>
        <v>0.49</v>
      </c>
      <c r="V204" s="95">
        <f t="shared" si="51"/>
        <v>0.49</v>
      </c>
      <c r="W204" s="95">
        <f t="shared" si="51"/>
        <v>0.49</v>
      </c>
      <c r="X204" s="283"/>
    </row>
    <row r="205" spans="1:24" s="8" customFormat="1" outlineLevel="2">
      <c r="A205" s="416">
        <f>D$52</f>
        <v>1</v>
      </c>
      <c r="B205" s="416">
        <f>B$52</f>
        <v>0.78</v>
      </c>
      <c r="C205" s="411">
        <f>IF(C$201&gt;$A205,$A205-$A204,C$201-SUM(C204:C$204))</f>
        <v>0</v>
      </c>
      <c r="D205" s="416">
        <f>IF(D$201&gt;$A205,$A205-$A204,D$201-SUM(D204:D$204))</f>
        <v>0</v>
      </c>
      <c r="E205" s="416">
        <f>IF(E$201&gt;$A205,$A205-$A204,E$201-SUM(E204:E$204))</f>
        <v>0</v>
      </c>
      <c r="F205" s="416">
        <f>IF(F$201&gt;$A205,$A205-$A204,F$201-SUM(F204:F$204))</f>
        <v>0</v>
      </c>
      <c r="G205" s="416">
        <f>IF(G$201&gt;$A205,$A205-$A204,G$201-SUM(G204:G$204))</f>
        <v>0.5</v>
      </c>
      <c r="H205" s="416">
        <f>IF(H$201&gt;$A205,$A205-$A204,H$201-SUM(H204:H$204))</f>
        <v>0.5</v>
      </c>
      <c r="I205" s="416">
        <f>IF(I$201&gt;$A205,$A205-$A204,I$201-SUM(I204:I$204))</f>
        <v>0.5</v>
      </c>
      <c r="J205" s="416">
        <f>IF(J$201&gt;$A205,$A205-$A204,J$201-SUM(J204:J$204))</f>
        <v>0.5</v>
      </c>
      <c r="K205" s="416">
        <f>IF(K$201&gt;$A205,$A205-$A204,K$201-SUM(K204:K$204))</f>
        <v>0.5</v>
      </c>
      <c r="L205" s="416">
        <f>IF(L$201&gt;$A205,$A205-$A204,L$201-SUM(L204:L$204))</f>
        <v>0.5</v>
      </c>
      <c r="M205" s="283"/>
      <c r="N205" s="405">
        <f t="shared" si="51"/>
        <v>0</v>
      </c>
      <c r="O205" s="95">
        <f t="shared" si="51"/>
        <v>0</v>
      </c>
      <c r="P205" s="95">
        <f t="shared" si="51"/>
        <v>0</v>
      </c>
      <c r="Q205" s="95">
        <f t="shared" si="51"/>
        <v>0</v>
      </c>
      <c r="R205" s="95">
        <f t="shared" si="51"/>
        <v>0.39</v>
      </c>
      <c r="S205" s="95">
        <f t="shared" si="51"/>
        <v>0.39</v>
      </c>
      <c r="T205" s="95">
        <f t="shared" si="51"/>
        <v>0.39</v>
      </c>
      <c r="U205" s="95">
        <f t="shared" si="51"/>
        <v>0.39</v>
      </c>
      <c r="V205" s="95">
        <f t="shared" si="51"/>
        <v>0.39</v>
      </c>
      <c r="W205" s="95">
        <f t="shared" si="51"/>
        <v>0.39</v>
      </c>
      <c r="X205" s="283"/>
    </row>
    <row r="206" spans="1:24" s="8" customFormat="1" outlineLevel="2">
      <c r="A206" s="416">
        <f>D$53</f>
        <v>2</v>
      </c>
      <c r="B206" s="416">
        <f>B$53</f>
        <v>0.68</v>
      </c>
      <c r="C206" s="411">
        <f>IF(C$201&gt;$A206,$A206-$A205,C$201-SUM(C$204:C205))</f>
        <v>0</v>
      </c>
      <c r="D206" s="416">
        <f>IF(D$201&gt;$A206,$A206-$A205,D$201-SUM(D$204:D205))</f>
        <v>0</v>
      </c>
      <c r="E206" s="416">
        <f>IF(E$201&gt;$A206,$A206-$A205,E$201-SUM(E$204:E205))</f>
        <v>0</v>
      </c>
      <c r="F206" s="416">
        <f>IF(F$201&gt;$A206,$A206-$A205,F$201-SUM(F$204:F205))</f>
        <v>0</v>
      </c>
      <c r="G206" s="416">
        <f>IF(G$201&gt;$A206,$A206-$A205,G$201-SUM(G$204:G205))</f>
        <v>1</v>
      </c>
      <c r="H206" s="416">
        <f>IF(H$201&gt;$A206,$A206-$A205,H$201-SUM(H$204:H205))</f>
        <v>1</v>
      </c>
      <c r="I206" s="416">
        <f>IF(I$201&gt;$A206,$A206-$A205,I$201-SUM(I$204:I205))</f>
        <v>1</v>
      </c>
      <c r="J206" s="416">
        <f>IF(J$201&gt;$A206,$A206-$A205,J$201-SUM(J$204:J205))</f>
        <v>1</v>
      </c>
      <c r="K206" s="416">
        <f>IF(K$201&gt;$A206,$A206-$A205,K$201-SUM(K$204:K205))</f>
        <v>1</v>
      </c>
      <c r="L206" s="416">
        <f>IF(L$201&gt;$A206,$A206-$A205,L$201-SUM(L$204:L205))</f>
        <v>1</v>
      </c>
      <c r="M206" s="283"/>
      <c r="N206" s="405">
        <f t="shared" si="51"/>
        <v>0</v>
      </c>
      <c r="O206" s="95">
        <f t="shared" si="51"/>
        <v>0</v>
      </c>
      <c r="P206" s="95">
        <f t="shared" si="51"/>
        <v>0</v>
      </c>
      <c r="Q206" s="95">
        <f t="shared" si="51"/>
        <v>0</v>
      </c>
      <c r="R206" s="95">
        <f t="shared" si="51"/>
        <v>0.68</v>
      </c>
      <c r="S206" s="95">
        <f t="shared" si="51"/>
        <v>0.68</v>
      </c>
      <c r="T206" s="95">
        <f t="shared" si="51"/>
        <v>0.68</v>
      </c>
      <c r="U206" s="95">
        <f t="shared" si="51"/>
        <v>0.68</v>
      </c>
      <c r="V206" s="95">
        <f t="shared" si="51"/>
        <v>0.68</v>
      </c>
      <c r="W206" s="95">
        <f t="shared" si="51"/>
        <v>0.68</v>
      </c>
      <c r="X206" s="283"/>
    </row>
    <row r="207" spans="1:24" s="8" customFormat="1" outlineLevel="2">
      <c r="A207" s="416">
        <f>D$54</f>
        <v>5</v>
      </c>
      <c r="B207" s="416">
        <f>B$54</f>
        <v>0.45</v>
      </c>
      <c r="C207" s="411">
        <f>IF(C$201&gt;$A207,$A207-$A206,C$201-SUM(C$204:C206))</f>
        <v>0</v>
      </c>
      <c r="D207" s="416">
        <f>IF(D$201&gt;$A207,$A207-$A206,D$201-SUM(D$204:D206))</f>
        <v>0</v>
      </c>
      <c r="E207" s="416">
        <f>IF(E$201&gt;$A207,$A207-$A206,E$201-SUM(E$204:E206))</f>
        <v>0</v>
      </c>
      <c r="F207" s="416">
        <f>IF(F$201&gt;$A207,$A207-$A206,F$201-SUM(F$204:F206))</f>
        <v>0</v>
      </c>
      <c r="G207" s="416">
        <f>IF(G$201&gt;$A207,$A207-$A206,G$201-SUM(G$204:G206))</f>
        <v>2.7484260000000003</v>
      </c>
      <c r="H207" s="416">
        <f>IF(H$201&gt;$A207,$A207-$A206,H$201-SUM(H$204:H206))</f>
        <v>3</v>
      </c>
      <c r="I207" s="416">
        <f>IF(I$201&gt;$A207,$A207-$A206,I$201-SUM(I$204:I206))</f>
        <v>3</v>
      </c>
      <c r="J207" s="416">
        <f>IF(J$201&gt;$A207,$A207-$A206,J$201-SUM(J$204:J206))</f>
        <v>1.4316469999999999</v>
      </c>
      <c r="K207" s="416">
        <f>IF(K$201&gt;$A207,$A207-$A206,K$201-SUM(K$204:K206))</f>
        <v>3</v>
      </c>
      <c r="L207" s="416">
        <f>IF(L$201&gt;$A207,$A207-$A206,L$201-SUM(L$204:L206))</f>
        <v>3</v>
      </c>
      <c r="M207" s="283"/>
      <c r="N207" s="405">
        <f t="shared" si="51"/>
        <v>0</v>
      </c>
      <c r="O207" s="95">
        <f t="shared" si="51"/>
        <v>0</v>
      </c>
      <c r="P207" s="95">
        <f t="shared" si="51"/>
        <v>0</v>
      </c>
      <c r="Q207" s="95">
        <f t="shared" si="51"/>
        <v>0</v>
      </c>
      <c r="R207" s="95">
        <f t="shared" si="51"/>
        <v>1.2367917000000002</v>
      </c>
      <c r="S207" s="95">
        <f t="shared" si="51"/>
        <v>1.35</v>
      </c>
      <c r="T207" s="95">
        <f t="shared" si="51"/>
        <v>1.35</v>
      </c>
      <c r="U207" s="95">
        <f t="shared" si="51"/>
        <v>0.64424114999999993</v>
      </c>
      <c r="V207" s="95">
        <f t="shared" si="51"/>
        <v>1.35</v>
      </c>
      <c r="W207" s="95">
        <f t="shared" si="51"/>
        <v>1.35</v>
      </c>
      <c r="X207" s="283"/>
    </row>
    <row r="208" spans="1:24" s="8" customFormat="1" outlineLevel="2">
      <c r="A208" s="416">
        <f>D$55</f>
        <v>10</v>
      </c>
      <c r="B208" s="416">
        <f>B$55</f>
        <v>0.42</v>
      </c>
      <c r="C208" s="411">
        <f>IF(C$201&gt;$A208,$A208-$A207,C$201-SUM(C$204:C207))</f>
        <v>0</v>
      </c>
      <c r="D208" s="416">
        <f>IF(D$201&gt;$A208,$A208-$A207,D$201-SUM(D$204:D207))</f>
        <v>0</v>
      </c>
      <c r="E208" s="416">
        <f>IF(E$201&gt;$A208,$A208-$A207,E$201-SUM(E$204:E207))</f>
        <v>0</v>
      </c>
      <c r="F208" s="416">
        <f>IF(F$201&gt;$A208,$A208-$A207,F$201-SUM(F$204:F207))</f>
        <v>0</v>
      </c>
      <c r="G208" s="416">
        <f>IF(G$201&gt;$A208,$A208-$A207,G$201-SUM(G$204:G207))</f>
        <v>0</v>
      </c>
      <c r="H208" s="416">
        <f>IF(H$201&gt;$A208,$A208-$A207,H$201-SUM(H$204:H207))</f>
        <v>5</v>
      </c>
      <c r="I208" s="416">
        <f>IF(I$201&gt;$A208,$A208-$A207,I$201-SUM(I$204:I207))</f>
        <v>4.7793330000000047</v>
      </c>
      <c r="J208" s="416">
        <f>IF(J$201&gt;$A208,$A208-$A207,J$201-SUM(J$204:J207))</f>
        <v>0</v>
      </c>
      <c r="K208" s="416">
        <f>IF(K$201&gt;$A208,$A208-$A207,K$201-SUM(K$204:K207))</f>
        <v>1.0887829999999967</v>
      </c>
      <c r="L208" s="416">
        <f>IF(L$201&gt;$A208,$A208-$A207,L$201-SUM(L$204:L207))</f>
        <v>5</v>
      </c>
      <c r="M208" s="283"/>
      <c r="N208" s="405">
        <f t="shared" si="51"/>
        <v>0</v>
      </c>
      <c r="O208" s="95">
        <f t="shared" si="51"/>
        <v>0</v>
      </c>
      <c r="P208" s="95">
        <f t="shared" si="51"/>
        <v>0</v>
      </c>
      <c r="Q208" s="95">
        <f t="shared" si="51"/>
        <v>0</v>
      </c>
      <c r="R208" s="95">
        <f t="shared" si="51"/>
        <v>0</v>
      </c>
      <c r="S208" s="95">
        <f t="shared" si="51"/>
        <v>2.1</v>
      </c>
      <c r="T208" s="95">
        <f t="shared" si="51"/>
        <v>2.0073198600000017</v>
      </c>
      <c r="U208" s="95">
        <f t="shared" si="51"/>
        <v>0</v>
      </c>
      <c r="V208" s="95">
        <f t="shared" si="51"/>
        <v>0.45728885999999863</v>
      </c>
      <c r="W208" s="95">
        <f t="shared" si="51"/>
        <v>2.1</v>
      </c>
      <c r="X208" s="283"/>
    </row>
    <row r="209" spans="1:24" s="8" customFormat="1" outlineLevel="2">
      <c r="A209" s="416">
        <f>D$56</f>
        <v>20</v>
      </c>
      <c r="B209" s="416">
        <f>B$56</f>
        <v>0.22</v>
      </c>
      <c r="C209" s="411">
        <f>IF(C$201&gt;$A209,$A209-$A208,C$201-SUM(C$204:C208))</f>
        <v>0</v>
      </c>
      <c r="D209" s="416">
        <f>IF(D$201&gt;$A209,$A209-$A208,D$201-SUM(D$204:D208))</f>
        <v>0</v>
      </c>
      <c r="E209" s="416">
        <f>IF(E$201&gt;$A209,$A209-$A208,E$201-SUM(E$204:E208))</f>
        <v>0</v>
      </c>
      <c r="F209" s="416">
        <f>IF(F$201&gt;$A209,$A209-$A208,F$201-SUM(F$204:F208))</f>
        <v>0</v>
      </c>
      <c r="G209" s="416">
        <f>IF(G$201&gt;$A209,$A209-$A208,G$201-SUM(G$204:G208))</f>
        <v>0</v>
      </c>
      <c r="H209" s="416">
        <f>IF(H$201&gt;$A209,$A209-$A208,H$201-SUM(H$204:H208))</f>
        <v>0.43621399999999966</v>
      </c>
      <c r="I209" s="416">
        <f>IF(I$201&gt;$A209,$A209-$A208,I$201-SUM(I$204:I208))</f>
        <v>0</v>
      </c>
      <c r="J209" s="416">
        <f>IF(J$201&gt;$A209,$A209-$A208,J$201-SUM(J$204:J208))</f>
        <v>0</v>
      </c>
      <c r="K209" s="416">
        <f>IF(K$201&gt;$A209,$A209-$A208,K$201-SUM(K$204:K208))</f>
        <v>0</v>
      </c>
      <c r="L209" s="416">
        <f>IF(L$201&gt;$A209,$A209-$A208,L$201-SUM(L$204:L208))</f>
        <v>2.1068619999999996</v>
      </c>
      <c r="M209" s="283"/>
      <c r="N209" s="405">
        <f t="shared" si="51"/>
        <v>0</v>
      </c>
      <c r="O209" s="95">
        <f t="shared" si="51"/>
        <v>0</v>
      </c>
      <c r="P209" s="95">
        <f t="shared" si="51"/>
        <v>0</v>
      </c>
      <c r="Q209" s="95">
        <f t="shared" si="51"/>
        <v>0</v>
      </c>
      <c r="R209" s="95">
        <f t="shared" si="51"/>
        <v>0</v>
      </c>
      <c r="S209" s="95">
        <f t="shared" si="51"/>
        <v>9.5967079999999927E-2</v>
      </c>
      <c r="T209" s="95">
        <f t="shared" si="51"/>
        <v>0</v>
      </c>
      <c r="U209" s="95">
        <f t="shared" si="51"/>
        <v>0</v>
      </c>
      <c r="V209" s="95">
        <f t="shared" si="51"/>
        <v>0</v>
      </c>
      <c r="W209" s="95">
        <f t="shared" si="51"/>
        <v>0.46350963999999989</v>
      </c>
      <c r="X209" s="283"/>
    </row>
    <row r="210" spans="1:24" s="8" customFormat="1" outlineLevel="2">
      <c r="A210" s="416">
        <f>D$57</f>
        <v>50</v>
      </c>
      <c r="B210" s="416">
        <f>B$57</f>
        <v>0.2</v>
      </c>
      <c r="C210" s="411">
        <f>IF(C$201&gt;$A210,$A210-$A209,C$201-SUM(C$204:C209))</f>
        <v>0</v>
      </c>
      <c r="D210" s="416">
        <f>IF(D$201&gt;$A210,$A210-$A209,D$201-SUM(D$204:D209))</f>
        <v>0</v>
      </c>
      <c r="E210" s="416">
        <f>IF(E$201&gt;$A210,$A210-$A209,E$201-SUM(E$204:E209))</f>
        <v>0</v>
      </c>
      <c r="F210" s="416">
        <f>IF(F$201&gt;$A210,$A210-$A209,F$201-SUM(F$204:F209))</f>
        <v>0</v>
      </c>
      <c r="G210" s="416">
        <f>IF(G$201&gt;$A210,$A210-$A209,G$201-SUM(G$204:G209))</f>
        <v>0</v>
      </c>
      <c r="H210" s="416">
        <f>IF(H$201&gt;$A210,$A210-$A209,H$201-SUM(H$204:H209))</f>
        <v>0</v>
      </c>
      <c r="I210" s="416">
        <f>IF(I$201&gt;$A210,$A210-$A209,I$201-SUM(I$204:I209))</f>
        <v>0</v>
      </c>
      <c r="J210" s="416">
        <f>IF(J$201&gt;$A210,$A210-$A209,J$201-SUM(J$204:J209))</f>
        <v>0</v>
      </c>
      <c r="K210" s="416">
        <f>IF(K$201&gt;$A210,$A210-$A209,K$201-SUM(K$204:K209))</f>
        <v>0</v>
      </c>
      <c r="L210" s="416">
        <f>IF(L$201&gt;$A210,$A210-$A209,L$201-SUM(L$204:L209))</f>
        <v>0</v>
      </c>
      <c r="M210" s="283"/>
      <c r="N210" s="405">
        <f t="shared" si="51"/>
        <v>0</v>
      </c>
      <c r="O210" s="95">
        <f t="shared" si="51"/>
        <v>0</v>
      </c>
      <c r="P210" s="95">
        <f t="shared" si="51"/>
        <v>0</v>
      </c>
      <c r="Q210" s="95">
        <f t="shared" si="51"/>
        <v>0</v>
      </c>
      <c r="R210" s="95">
        <f t="shared" si="51"/>
        <v>0</v>
      </c>
      <c r="S210" s="95">
        <f t="shared" si="51"/>
        <v>0</v>
      </c>
      <c r="T210" s="95">
        <f t="shared" si="51"/>
        <v>0</v>
      </c>
      <c r="U210" s="95">
        <f t="shared" si="51"/>
        <v>0</v>
      </c>
      <c r="V210" s="95">
        <f t="shared" si="51"/>
        <v>0</v>
      </c>
      <c r="W210" s="95">
        <f t="shared" si="51"/>
        <v>0</v>
      </c>
      <c r="X210" s="283"/>
    </row>
    <row r="211" spans="1:24" s="8" customFormat="1" outlineLevel="2">
      <c r="A211" s="416">
        <f>D$58</f>
        <v>75</v>
      </c>
      <c r="B211" s="416">
        <f>B$58</f>
        <v>0.15</v>
      </c>
      <c r="C211" s="411">
        <f>IF(C$201&gt;$A211,$A211-$A210,C$201-SUM(C$204:C210))</f>
        <v>0</v>
      </c>
      <c r="D211" s="416">
        <f>IF(D$201&gt;$A211,$A211-$A210,D$201-SUM(D$204:D210))</f>
        <v>0</v>
      </c>
      <c r="E211" s="416">
        <f>IF(E$201&gt;$A211,$A211-$A210,E$201-SUM(E$204:E210))</f>
        <v>0</v>
      </c>
      <c r="F211" s="416">
        <f>IF(F$201&gt;$A211,$A211-$A210,F$201-SUM(F$204:F210))</f>
        <v>0</v>
      </c>
      <c r="G211" s="416">
        <f>IF(G$201&gt;$A211,$A211-$A210,G$201-SUM(G$204:G210))</f>
        <v>0</v>
      </c>
      <c r="H211" s="416">
        <f>IF(H$201&gt;$A211,$A211-$A210,H$201-SUM(H$204:H210))</f>
        <v>0</v>
      </c>
      <c r="I211" s="416">
        <f>IF(I$201&gt;$A211,$A211-$A210,I$201-SUM(I$204:I210))</f>
        <v>0</v>
      </c>
      <c r="J211" s="416">
        <f>IF(J$201&gt;$A211,$A211-$A210,J$201-SUM(J$204:J210))</f>
        <v>0</v>
      </c>
      <c r="K211" s="416">
        <f>IF(K$201&gt;$A211,$A211-$A210,K$201-SUM(K$204:K210))</f>
        <v>0</v>
      </c>
      <c r="L211" s="416">
        <f>IF(L$201&gt;$A211,$A211-$A210,L$201-SUM(L$204:L210))</f>
        <v>0</v>
      </c>
      <c r="M211" s="283"/>
      <c r="N211" s="405">
        <f t="shared" si="51"/>
        <v>0</v>
      </c>
      <c r="O211" s="95">
        <f t="shared" si="51"/>
        <v>0</v>
      </c>
      <c r="P211" s="95">
        <f t="shared" si="51"/>
        <v>0</v>
      </c>
      <c r="Q211" s="95">
        <f t="shared" si="51"/>
        <v>0</v>
      </c>
      <c r="R211" s="95">
        <f t="shared" si="51"/>
        <v>0</v>
      </c>
      <c r="S211" s="95">
        <f t="shared" si="51"/>
        <v>0</v>
      </c>
      <c r="T211" s="95">
        <f t="shared" si="51"/>
        <v>0</v>
      </c>
      <c r="U211" s="95">
        <f t="shared" si="51"/>
        <v>0</v>
      </c>
      <c r="V211" s="95">
        <f t="shared" si="51"/>
        <v>0</v>
      </c>
      <c r="W211" s="95">
        <f t="shared" si="51"/>
        <v>0</v>
      </c>
      <c r="X211" s="283"/>
    </row>
    <row r="212" spans="1:24" s="8" customFormat="1" outlineLevel="2">
      <c r="A212" s="416">
        <f>D$59</f>
        <v>9999</v>
      </c>
      <c r="B212" s="416">
        <f>B$59</f>
        <v>0.1</v>
      </c>
      <c r="C212" s="411">
        <f>IF(C$201&gt;$A212,$A212-$A211,C$201-SUM(C$204:C211))</f>
        <v>0</v>
      </c>
      <c r="D212" s="416">
        <f>IF(D$201&gt;$A212,$A212-$A211,D$201-SUM(D$204:D211))</f>
        <v>0</v>
      </c>
      <c r="E212" s="416">
        <f>IF(E$201&gt;$A212,$A212-$A211,E$201-SUM(E$204:E211))</f>
        <v>0</v>
      </c>
      <c r="F212" s="416">
        <f>IF(F$201&gt;$A212,$A212-$A211,F$201-SUM(F$204:F211))</f>
        <v>0</v>
      </c>
      <c r="G212" s="416">
        <f>IF(G$201&gt;$A212,$A212-$A211,G$201-SUM(G$204:G211))</f>
        <v>0</v>
      </c>
      <c r="H212" s="416">
        <f>IF(H$201&gt;$A212,$A212-$A211,H$201-SUM(H$204:H211))</f>
        <v>0</v>
      </c>
      <c r="I212" s="416">
        <f>IF(I$201&gt;$A212,$A212-$A211,I$201-SUM(I$204:I211))</f>
        <v>0</v>
      </c>
      <c r="J212" s="416">
        <f>IF(J$201&gt;$A212,$A212-$A211,J$201-SUM(J$204:J211))</f>
        <v>0</v>
      </c>
      <c r="K212" s="416">
        <f>IF(K$201&gt;$A212,$A212-$A211,K$201-SUM(K$204:K211))</f>
        <v>0</v>
      </c>
      <c r="L212" s="416">
        <f>IF(L$201&gt;$A212,$A212-$A211,L$201-SUM(L$204:L211))</f>
        <v>0</v>
      </c>
      <c r="M212" s="283"/>
      <c r="N212" s="405">
        <f t="shared" si="51"/>
        <v>0</v>
      </c>
      <c r="O212" s="95">
        <f t="shared" si="51"/>
        <v>0</v>
      </c>
      <c r="P212" s="95">
        <f t="shared" si="51"/>
        <v>0</v>
      </c>
      <c r="Q212" s="95">
        <f t="shared" si="51"/>
        <v>0</v>
      </c>
      <c r="R212" s="95">
        <f t="shared" si="51"/>
        <v>0</v>
      </c>
      <c r="S212" s="95">
        <f t="shared" si="51"/>
        <v>0</v>
      </c>
      <c r="T212" s="95">
        <f t="shared" si="51"/>
        <v>0</v>
      </c>
      <c r="U212" s="95">
        <f t="shared" si="51"/>
        <v>0</v>
      </c>
      <c r="V212" s="95">
        <f t="shared" si="51"/>
        <v>0</v>
      </c>
      <c r="W212" s="95">
        <f t="shared" si="51"/>
        <v>0</v>
      </c>
      <c r="X212" s="283"/>
    </row>
    <row r="213" spans="1:24" s="8" customFormat="1" outlineLevel="1">
      <c r="A213" s="404"/>
      <c r="B213" s="417" t="str">
        <f>CONCATENATE(B200," Total")</f>
        <v>Amazon.com Total</v>
      </c>
      <c r="C213" s="418">
        <f>SUM(C204:C212)</f>
        <v>0</v>
      </c>
      <c r="D213" s="419">
        <f t="shared" ref="D213:L213" si="52">SUM(D204:D212)</f>
        <v>0</v>
      </c>
      <c r="E213" s="419">
        <f t="shared" si="52"/>
        <v>0</v>
      </c>
      <c r="F213" s="419">
        <f t="shared" si="52"/>
        <v>0</v>
      </c>
      <c r="G213" s="419">
        <f t="shared" si="52"/>
        <v>4.7484260000000003</v>
      </c>
      <c r="H213" s="419">
        <f t="shared" si="52"/>
        <v>10.436214</v>
      </c>
      <c r="I213" s="419">
        <f t="shared" si="52"/>
        <v>9.7793330000000047</v>
      </c>
      <c r="J213" s="419">
        <f t="shared" si="52"/>
        <v>3.4316469999999999</v>
      </c>
      <c r="K213" s="419">
        <f t="shared" si="52"/>
        <v>6.0887829999999967</v>
      </c>
      <c r="L213" s="419">
        <f t="shared" si="52"/>
        <v>12.106862</v>
      </c>
      <c r="M213" s="283"/>
      <c r="N213" s="420">
        <f>SUM(N204:N212)</f>
        <v>0</v>
      </c>
      <c r="O213" s="420">
        <f t="shared" ref="O213:W213" si="53">SUM(O204:O212)</f>
        <v>0</v>
      </c>
      <c r="P213" s="420">
        <f t="shared" si="53"/>
        <v>0</v>
      </c>
      <c r="Q213" s="420">
        <f t="shared" si="53"/>
        <v>0</v>
      </c>
      <c r="R213" s="420">
        <f t="shared" si="53"/>
        <v>2.7967917</v>
      </c>
      <c r="S213" s="420">
        <f t="shared" si="53"/>
        <v>5.1059670800000001</v>
      </c>
      <c r="T213" s="420">
        <f t="shared" si="53"/>
        <v>4.9173198600000019</v>
      </c>
      <c r="U213" s="420">
        <f t="shared" si="53"/>
        <v>2.2042411500000001</v>
      </c>
      <c r="V213" s="420">
        <f t="shared" si="53"/>
        <v>3.3672888599999986</v>
      </c>
      <c r="W213" s="420">
        <f t="shared" si="53"/>
        <v>5.4735096399999996</v>
      </c>
      <c r="X213" s="283"/>
    </row>
    <row r="214" spans="1:24" s="8" customFormat="1" outlineLevel="1">
      <c r="B214" s="421" t="s">
        <v>778</v>
      </c>
      <c r="C214" s="422">
        <f t="shared" ref="C214:L214" si="54">C213-C201</f>
        <v>0</v>
      </c>
      <c r="D214" s="423">
        <f t="shared" si="54"/>
        <v>0</v>
      </c>
      <c r="E214" s="423">
        <f t="shared" si="54"/>
        <v>0</v>
      </c>
      <c r="F214" s="423">
        <f t="shared" si="54"/>
        <v>0</v>
      </c>
      <c r="G214" s="423">
        <f t="shared" si="54"/>
        <v>0</v>
      </c>
      <c r="H214" s="423">
        <f t="shared" si="54"/>
        <v>0</v>
      </c>
      <c r="I214" s="423">
        <f t="shared" si="54"/>
        <v>0</v>
      </c>
      <c r="J214" s="423">
        <f t="shared" si="54"/>
        <v>0</v>
      </c>
      <c r="K214" s="423">
        <f t="shared" si="54"/>
        <v>0</v>
      </c>
      <c r="L214" s="423">
        <f t="shared" si="54"/>
        <v>0</v>
      </c>
      <c r="M214" s="283"/>
      <c r="N214" s="283"/>
      <c r="O214" s="283"/>
      <c r="P214" s="283"/>
      <c r="Q214" s="283"/>
      <c r="R214" s="283"/>
      <c r="S214" s="283"/>
      <c r="T214" s="283"/>
      <c r="U214" s="283"/>
      <c r="V214" s="283"/>
      <c r="W214" s="283"/>
      <c r="X214" s="283"/>
    </row>
    <row r="215" spans="1:24" s="8" customFormat="1" outlineLevel="1">
      <c r="C215" s="283"/>
      <c r="M215" s="283"/>
      <c r="X215" s="283"/>
    </row>
    <row r="216" spans="1:24" s="8" customFormat="1" outlineLevel="1" collapsed="1">
      <c r="A216" s="8">
        <f>A200+1</f>
        <v>3</v>
      </c>
      <c r="B216" s="424" t="str">
        <f>A142</f>
        <v>Apple</v>
      </c>
      <c r="C216" s="80">
        <v>2007</v>
      </c>
      <c r="D216" s="66">
        <f>C216+1</f>
        <v>2008</v>
      </c>
      <c r="E216" s="66">
        <f t="shared" ref="E216:L216" si="55">D216+1</f>
        <v>2009</v>
      </c>
      <c r="F216" s="66">
        <f t="shared" si="55"/>
        <v>2010</v>
      </c>
      <c r="G216" s="66">
        <f t="shared" si="55"/>
        <v>2011</v>
      </c>
      <c r="H216" s="66">
        <f t="shared" si="55"/>
        <v>2012</v>
      </c>
      <c r="I216" s="66">
        <f t="shared" si="55"/>
        <v>2013</v>
      </c>
      <c r="J216" s="66">
        <f t="shared" si="55"/>
        <v>2014</v>
      </c>
      <c r="K216" s="66">
        <f t="shared" si="55"/>
        <v>2015</v>
      </c>
      <c r="L216" s="66">
        <f t="shared" si="55"/>
        <v>2016</v>
      </c>
      <c r="M216" s="283"/>
      <c r="N216" s="168">
        <f t="shared" ref="N216:W216" si="56">C216</f>
        <v>2007</v>
      </c>
      <c r="O216" s="66">
        <f t="shared" si="56"/>
        <v>2008</v>
      </c>
      <c r="P216" s="66">
        <f t="shared" si="56"/>
        <v>2009</v>
      </c>
      <c r="Q216" s="66">
        <f t="shared" si="56"/>
        <v>2010</v>
      </c>
      <c r="R216" s="66">
        <f t="shared" si="56"/>
        <v>2011</v>
      </c>
      <c r="S216" s="66">
        <f t="shared" si="56"/>
        <v>2012</v>
      </c>
      <c r="T216" s="66">
        <f t="shared" si="56"/>
        <v>2013</v>
      </c>
      <c r="U216" s="66">
        <f t="shared" si="56"/>
        <v>2014</v>
      </c>
      <c r="V216" s="66">
        <f t="shared" si="56"/>
        <v>2015</v>
      </c>
      <c r="W216" s="66">
        <f t="shared" si="56"/>
        <v>2016</v>
      </c>
      <c r="X216" s="283"/>
    </row>
    <row r="217" spans="1:24" s="8" customFormat="1" outlineLevel="2">
      <c r="B217" s="8" t="s">
        <v>1348</v>
      </c>
      <c r="C217" s="411">
        <f t="shared" ref="C217:L217" si="57">VLOOKUP($B216,$A$140:$K$175,C$183+1,FALSE)</f>
        <v>3.7039999999999997</v>
      </c>
      <c r="D217" s="412">
        <f t="shared" si="57"/>
        <v>13.675000000000001</v>
      </c>
      <c r="E217" s="412">
        <f t="shared" si="57"/>
        <v>25.101000000000003</v>
      </c>
      <c r="F217" s="412">
        <f t="shared" si="57"/>
        <v>62.325000000000003</v>
      </c>
      <c r="G217" s="412">
        <f t="shared" si="57"/>
        <v>133.56099999999998</v>
      </c>
      <c r="H217" s="412">
        <f t="shared" si="57"/>
        <v>201.46300000000002</v>
      </c>
      <c r="I217" s="412">
        <f t="shared" si="57"/>
        <v>227.57699999999997</v>
      </c>
      <c r="J217" s="412">
        <f t="shared" si="57"/>
        <v>256.05</v>
      </c>
      <c r="K217" s="412">
        <f t="shared" si="57"/>
        <v>281.036</v>
      </c>
      <c r="L217" s="412">
        <f t="shared" si="57"/>
        <v>257.94899999999996</v>
      </c>
      <c r="M217" s="283"/>
      <c r="N217" s="283"/>
      <c r="X217" s="283"/>
    </row>
    <row r="218" spans="1:24" s="8" customFormat="1" outlineLevel="2">
      <c r="C218" s="413"/>
      <c r="D218" s="414"/>
      <c r="E218" s="414"/>
      <c r="F218" s="414"/>
      <c r="G218" s="414"/>
      <c r="H218" s="414"/>
      <c r="I218" s="414"/>
      <c r="J218" s="414"/>
      <c r="K218" s="414"/>
      <c r="L218" s="414"/>
      <c r="M218" s="283"/>
      <c r="N218" s="283"/>
      <c r="X218" s="283"/>
    </row>
    <row r="219" spans="1:24" s="8" customFormat="1" outlineLevel="2">
      <c r="A219" s="66" t="s">
        <v>1349</v>
      </c>
      <c r="B219" s="66" t="s">
        <v>1350</v>
      </c>
      <c r="C219" s="415"/>
      <c r="F219" s="9"/>
      <c r="M219" s="283"/>
      <c r="N219" s="283"/>
      <c r="X219" s="283"/>
    </row>
    <row r="220" spans="1:24" s="8" customFormat="1" outlineLevel="2">
      <c r="A220" s="416">
        <f>D$51</f>
        <v>0.5</v>
      </c>
      <c r="B220" s="416">
        <f>B$51</f>
        <v>0.98</v>
      </c>
      <c r="C220" s="411">
        <f>IF(C$217&gt;$A220,$A220,C$217)</f>
        <v>0.5</v>
      </c>
      <c r="D220" s="416">
        <f t="shared" ref="D220:L220" si="58">IF(D$217&gt;$A220,$A220,D$217)</f>
        <v>0.5</v>
      </c>
      <c r="E220" s="416">
        <f t="shared" si="58"/>
        <v>0.5</v>
      </c>
      <c r="F220" s="416">
        <f t="shared" si="58"/>
        <v>0.5</v>
      </c>
      <c r="G220" s="416">
        <f t="shared" si="58"/>
        <v>0.5</v>
      </c>
      <c r="H220" s="416">
        <f t="shared" si="58"/>
        <v>0.5</v>
      </c>
      <c r="I220" s="416">
        <f t="shared" si="58"/>
        <v>0.5</v>
      </c>
      <c r="J220" s="416">
        <f t="shared" si="58"/>
        <v>0.5</v>
      </c>
      <c r="K220" s="416">
        <f t="shared" si="58"/>
        <v>0.5</v>
      </c>
      <c r="L220" s="416">
        <f t="shared" si="58"/>
        <v>0.5</v>
      </c>
      <c r="M220" s="283"/>
      <c r="N220" s="405">
        <f t="shared" ref="N220:W228" si="59">C220*$B220</f>
        <v>0.49</v>
      </c>
      <c r="O220" s="95">
        <f t="shared" si="59"/>
        <v>0.49</v>
      </c>
      <c r="P220" s="95">
        <f t="shared" si="59"/>
        <v>0.49</v>
      </c>
      <c r="Q220" s="95">
        <f t="shared" si="59"/>
        <v>0.49</v>
      </c>
      <c r="R220" s="95">
        <f t="shared" si="59"/>
        <v>0.49</v>
      </c>
      <c r="S220" s="95">
        <f t="shared" si="59"/>
        <v>0.49</v>
      </c>
      <c r="T220" s="95">
        <f t="shared" si="59"/>
        <v>0.49</v>
      </c>
      <c r="U220" s="95">
        <f t="shared" si="59"/>
        <v>0.49</v>
      </c>
      <c r="V220" s="95">
        <f t="shared" si="59"/>
        <v>0.49</v>
      </c>
      <c r="W220" s="95">
        <f t="shared" si="59"/>
        <v>0.49</v>
      </c>
      <c r="X220" s="283"/>
    </row>
    <row r="221" spans="1:24" s="8" customFormat="1" outlineLevel="2">
      <c r="A221" s="416">
        <f>D$52</f>
        <v>1</v>
      </c>
      <c r="B221" s="416">
        <f>B$52</f>
        <v>0.78</v>
      </c>
      <c r="C221" s="411">
        <f>IF(C$217&gt;$A221,$A221-$A220,C$217-SUM(C220:C$220))</f>
        <v>0.5</v>
      </c>
      <c r="D221" s="416">
        <f>IF(D$217&gt;$A221,$A221-$A220,D$217-SUM(D220:D$220))</f>
        <v>0.5</v>
      </c>
      <c r="E221" s="416">
        <f>IF(E$217&gt;$A221,$A221-$A220,E$217-SUM(E220:E$220))</f>
        <v>0.5</v>
      </c>
      <c r="F221" s="416">
        <f>IF(F$217&gt;$A221,$A221-$A220,F$217-SUM(F220:F$220))</f>
        <v>0.5</v>
      </c>
      <c r="G221" s="416">
        <f>IF(G$217&gt;$A221,$A221-$A220,G$217-SUM(G220:G$220))</f>
        <v>0.5</v>
      </c>
      <c r="H221" s="416">
        <f>IF(H$217&gt;$A221,$A221-$A220,H$217-SUM(H220:H$220))</f>
        <v>0.5</v>
      </c>
      <c r="I221" s="416">
        <f>IF(I$217&gt;$A221,$A221-$A220,I$217-SUM(I220:I$220))</f>
        <v>0.5</v>
      </c>
      <c r="J221" s="416">
        <f>IF(J$217&gt;$A221,$A221-$A220,J$217-SUM(J220:J$220))</f>
        <v>0.5</v>
      </c>
      <c r="K221" s="416">
        <f>IF(K$217&gt;$A221,$A221-$A220,K$217-SUM(K220:K$220))</f>
        <v>0.5</v>
      </c>
      <c r="L221" s="416">
        <f>IF(L$217&gt;$A221,$A221-$A220,L$217-SUM(L220:L$220))</f>
        <v>0.5</v>
      </c>
      <c r="M221" s="283"/>
      <c r="N221" s="405">
        <f t="shared" si="59"/>
        <v>0.39</v>
      </c>
      <c r="O221" s="95">
        <f t="shared" si="59"/>
        <v>0.39</v>
      </c>
      <c r="P221" s="95">
        <f t="shared" si="59"/>
        <v>0.39</v>
      </c>
      <c r="Q221" s="95">
        <f t="shared" si="59"/>
        <v>0.39</v>
      </c>
      <c r="R221" s="95">
        <f t="shared" si="59"/>
        <v>0.39</v>
      </c>
      <c r="S221" s="95">
        <f t="shared" si="59"/>
        <v>0.39</v>
      </c>
      <c r="T221" s="95">
        <f t="shared" si="59"/>
        <v>0.39</v>
      </c>
      <c r="U221" s="95">
        <f t="shared" si="59"/>
        <v>0.39</v>
      </c>
      <c r="V221" s="95">
        <f t="shared" si="59"/>
        <v>0.39</v>
      </c>
      <c r="W221" s="95">
        <f t="shared" si="59"/>
        <v>0.39</v>
      </c>
      <c r="X221" s="283"/>
    </row>
    <row r="222" spans="1:24" s="8" customFormat="1" outlineLevel="2">
      <c r="A222" s="416">
        <f>D$53</f>
        <v>2</v>
      </c>
      <c r="B222" s="416">
        <f>B$53</f>
        <v>0.68</v>
      </c>
      <c r="C222" s="411">
        <f>IF(C$217&gt;$A222,$A222-$A221,C$217-SUM(C$220:C221))</f>
        <v>1</v>
      </c>
      <c r="D222" s="416">
        <f>IF(D$217&gt;$A222,$A222-$A221,D$217-SUM(D$220:D221))</f>
        <v>1</v>
      </c>
      <c r="E222" s="416">
        <f>IF(E$217&gt;$A222,$A222-$A221,E$217-SUM(E$220:E221))</f>
        <v>1</v>
      </c>
      <c r="F222" s="416">
        <f>IF(F$217&gt;$A222,$A222-$A221,F$217-SUM(F$220:F221))</f>
        <v>1</v>
      </c>
      <c r="G222" s="416">
        <f>IF(G$217&gt;$A222,$A222-$A221,G$217-SUM(G$220:G221))</f>
        <v>1</v>
      </c>
      <c r="H222" s="416">
        <f>IF(H$217&gt;$A222,$A222-$A221,H$217-SUM(H$220:H221))</f>
        <v>1</v>
      </c>
      <c r="I222" s="416">
        <f>IF(I$217&gt;$A222,$A222-$A221,I$217-SUM(I$220:I221))</f>
        <v>1</v>
      </c>
      <c r="J222" s="416">
        <f>IF(J$217&gt;$A222,$A222-$A221,J$217-SUM(J$220:J221))</f>
        <v>1</v>
      </c>
      <c r="K222" s="416">
        <f>IF(K$217&gt;$A222,$A222-$A221,K$217-SUM(K$220:K221))</f>
        <v>1</v>
      </c>
      <c r="L222" s="416">
        <f>IF(L$217&gt;$A222,$A222-$A221,L$217-SUM(L$220:L221))</f>
        <v>1</v>
      </c>
      <c r="M222" s="283"/>
      <c r="N222" s="405">
        <f t="shared" si="59"/>
        <v>0.68</v>
      </c>
      <c r="O222" s="95">
        <f t="shared" si="59"/>
        <v>0.68</v>
      </c>
      <c r="P222" s="95">
        <f t="shared" si="59"/>
        <v>0.68</v>
      </c>
      <c r="Q222" s="95">
        <f t="shared" si="59"/>
        <v>0.68</v>
      </c>
      <c r="R222" s="95">
        <f t="shared" si="59"/>
        <v>0.68</v>
      </c>
      <c r="S222" s="95">
        <f t="shared" si="59"/>
        <v>0.68</v>
      </c>
      <c r="T222" s="95">
        <f t="shared" si="59"/>
        <v>0.68</v>
      </c>
      <c r="U222" s="95">
        <f t="shared" si="59"/>
        <v>0.68</v>
      </c>
      <c r="V222" s="95">
        <f t="shared" si="59"/>
        <v>0.68</v>
      </c>
      <c r="W222" s="95">
        <f t="shared" si="59"/>
        <v>0.68</v>
      </c>
      <c r="X222" s="283"/>
    </row>
    <row r="223" spans="1:24" s="8" customFormat="1" outlineLevel="2">
      <c r="A223" s="416">
        <f>D$54</f>
        <v>5</v>
      </c>
      <c r="B223" s="416">
        <f>B$54</f>
        <v>0.45</v>
      </c>
      <c r="C223" s="411">
        <f>IF(C$217&gt;$A223,$A223-$A222,C$217-SUM(C$220:C222))</f>
        <v>1.7039999999999997</v>
      </c>
      <c r="D223" s="416">
        <f>IF(D$217&gt;$A223,$A223-$A222,D$217-SUM(D$220:D222))</f>
        <v>3</v>
      </c>
      <c r="E223" s="416">
        <f>IF(E$217&gt;$A223,$A223-$A222,E$217-SUM(E$220:E222))</f>
        <v>3</v>
      </c>
      <c r="F223" s="416">
        <f>IF(F$217&gt;$A223,$A223-$A222,F$217-SUM(F$220:F222))</f>
        <v>3</v>
      </c>
      <c r="G223" s="416">
        <f>IF(G$217&gt;$A223,$A223-$A222,G$217-SUM(G$220:G222))</f>
        <v>3</v>
      </c>
      <c r="H223" s="416">
        <f>IF(H$217&gt;$A223,$A223-$A222,H$217-SUM(H$220:H222))</f>
        <v>3</v>
      </c>
      <c r="I223" s="416">
        <f>IF(I$217&gt;$A223,$A223-$A222,I$217-SUM(I$220:I222))</f>
        <v>3</v>
      </c>
      <c r="J223" s="416">
        <f>IF(J$217&gt;$A223,$A223-$A222,J$217-SUM(J$220:J222))</f>
        <v>3</v>
      </c>
      <c r="K223" s="416">
        <f>IF(K$217&gt;$A223,$A223-$A222,K$217-SUM(K$220:K222))</f>
        <v>3</v>
      </c>
      <c r="L223" s="416">
        <f>IF(L$217&gt;$A223,$A223-$A222,L$217-SUM(L$220:L222))</f>
        <v>3</v>
      </c>
      <c r="M223" s="283"/>
      <c r="N223" s="405">
        <f t="shared" si="59"/>
        <v>0.76679999999999993</v>
      </c>
      <c r="O223" s="95">
        <f t="shared" si="59"/>
        <v>1.35</v>
      </c>
      <c r="P223" s="95">
        <f t="shared" si="59"/>
        <v>1.35</v>
      </c>
      <c r="Q223" s="95">
        <f t="shared" si="59"/>
        <v>1.35</v>
      </c>
      <c r="R223" s="95">
        <f t="shared" si="59"/>
        <v>1.35</v>
      </c>
      <c r="S223" s="95">
        <f t="shared" si="59"/>
        <v>1.35</v>
      </c>
      <c r="T223" s="95">
        <f t="shared" si="59"/>
        <v>1.35</v>
      </c>
      <c r="U223" s="95">
        <f t="shared" si="59"/>
        <v>1.35</v>
      </c>
      <c r="V223" s="95">
        <f t="shared" si="59"/>
        <v>1.35</v>
      </c>
      <c r="W223" s="95">
        <f t="shared" si="59"/>
        <v>1.35</v>
      </c>
      <c r="X223" s="283"/>
    </row>
    <row r="224" spans="1:24" s="8" customFormat="1" outlineLevel="2">
      <c r="A224" s="416">
        <f>D$55</f>
        <v>10</v>
      </c>
      <c r="B224" s="416">
        <f>B$55</f>
        <v>0.42</v>
      </c>
      <c r="C224" s="411">
        <f>IF(C$217&gt;$A224,$A224-$A223,C$217-SUM(C$220:C223))</f>
        <v>0</v>
      </c>
      <c r="D224" s="416">
        <f>IF(D$217&gt;$A224,$A224-$A223,D$217-SUM(D$220:D223))</f>
        <v>5</v>
      </c>
      <c r="E224" s="416">
        <f>IF(E$217&gt;$A224,$A224-$A223,E$217-SUM(E$220:E223))</f>
        <v>5</v>
      </c>
      <c r="F224" s="416">
        <f>IF(F$217&gt;$A224,$A224-$A223,F$217-SUM(F$220:F223))</f>
        <v>5</v>
      </c>
      <c r="G224" s="416">
        <f>IF(G$217&gt;$A224,$A224-$A223,G$217-SUM(G$220:G223))</f>
        <v>5</v>
      </c>
      <c r="H224" s="416">
        <f>IF(H$217&gt;$A224,$A224-$A223,H$217-SUM(H$220:H223))</f>
        <v>5</v>
      </c>
      <c r="I224" s="416">
        <f>IF(I$217&gt;$A224,$A224-$A223,I$217-SUM(I$220:I223))</f>
        <v>5</v>
      </c>
      <c r="J224" s="416">
        <f>IF(J$217&gt;$A224,$A224-$A223,J$217-SUM(J$220:J223))</f>
        <v>5</v>
      </c>
      <c r="K224" s="416">
        <f>IF(K$217&gt;$A224,$A224-$A223,K$217-SUM(K$220:K223))</f>
        <v>5</v>
      </c>
      <c r="L224" s="416">
        <f>IF(L$217&gt;$A224,$A224-$A223,L$217-SUM(L$220:L223))</f>
        <v>5</v>
      </c>
      <c r="M224" s="283"/>
      <c r="N224" s="405">
        <f t="shared" si="59"/>
        <v>0</v>
      </c>
      <c r="O224" s="95">
        <f t="shared" si="59"/>
        <v>2.1</v>
      </c>
      <c r="P224" s="95">
        <f t="shared" si="59"/>
        <v>2.1</v>
      </c>
      <c r="Q224" s="95">
        <f t="shared" si="59"/>
        <v>2.1</v>
      </c>
      <c r="R224" s="95">
        <f t="shared" si="59"/>
        <v>2.1</v>
      </c>
      <c r="S224" s="95">
        <f t="shared" si="59"/>
        <v>2.1</v>
      </c>
      <c r="T224" s="95">
        <f t="shared" si="59"/>
        <v>2.1</v>
      </c>
      <c r="U224" s="95">
        <f t="shared" si="59"/>
        <v>2.1</v>
      </c>
      <c r="V224" s="95">
        <f t="shared" si="59"/>
        <v>2.1</v>
      </c>
      <c r="W224" s="95">
        <f t="shared" si="59"/>
        <v>2.1</v>
      </c>
      <c r="X224" s="283"/>
    </row>
    <row r="225" spans="1:24" s="8" customFormat="1" outlineLevel="2">
      <c r="A225" s="416">
        <f>D$56</f>
        <v>20</v>
      </c>
      <c r="B225" s="416">
        <f>B$56</f>
        <v>0.22</v>
      </c>
      <c r="C225" s="411">
        <f>IF(C$217&gt;$A225,$A225-$A224,C$217-SUM(C$220:C224))</f>
        <v>0</v>
      </c>
      <c r="D225" s="416">
        <f>IF(D$217&gt;$A225,$A225-$A224,D$217-SUM(D$220:D224))</f>
        <v>3.6750000000000007</v>
      </c>
      <c r="E225" s="416">
        <f>IF(E$217&gt;$A225,$A225-$A224,E$217-SUM(E$220:E224))</f>
        <v>10</v>
      </c>
      <c r="F225" s="416">
        <f>IF(F$217&gt;$A225,$A225-$A224,F$217-SUM(F$220:F224))</f>
        <v>10</v>
      </c>
      <c r="G225" s="416">
        <f>IF(G$217&gt;$A225,$A225-$A224,G$217-SUM(G$220:G224))</f>
        <v>10</v>
      </c>
      <c r="H225" s="416">
        <f>IF(H$217&gt;$A225,$A225-$A224,H$217-SUM(H$220:H224))</f>
        <v>10</v>
      </c>
      <c r="I225" s="416">
        <f>IF(I$217&gt;$A225,$A225-$A224,I$217-SUM(I$220:I224))</f>
        <v>10</v>
      </c>
      <c r="J225" s="416">
        <f>IF(J$217&gt;$A225,$A225-$A224,J$217-SUM(J$220:J224))</f>
        <v>10</v>
      </c>
      <c r="K225" s="416">
        <f>IF(K$217&gt;$A225,$A225-$A224,K$217-SUM(K$220:K224))</f>
        <v>10</v>
      </c>
      <c r="L225" s="416">
        <f>IF(L$217&gt;$A225,$A225-$A224,L$217-SUM(L$220:L224))</f>
        <v>10</v>
      </c>
      <c r="M225" s="283"/>
      <c r="N225" s="405">
        <f t="shared" si="59"/>
        <v>0</v>
      </c>
      <c r="O225" s="95">
        <f t="shared" si="59"/>
        <v>0.80850000000000011</v>
      </c>
      <c r="P225" s="95">
        <f t="shared" si="59"/>
        <v>2.2000000000000002</v>
      </c>
      <c r="Q225" s="95">
        <f t="shared" si="59"/>
        <v>2.2000000000000002</v>
      </c>
      <c r="R225" s="95">
        <f t="shared" si="59"/>
        <v>2.2000000000000002</v>
      </c>
      <c r="S225" s="95">
        <f t="shared" si="59"/>
        <v>2.2000000000000002</v>
      </c>
      <c r="T225" s="95">
        <f t="shared" si="59"/>
        <v>2.2000000000000002</v>
      </c>
      <c r="U225" s="95">
        <f t="shared" si="59"/>
        <v>2.2000000000000002</v>
      </c>
      <c r="V225" s="95">
        <f t="shared" si="59"/>
        <v>2.2000000000000002</v>
      </c>
      <c r="W225" s="95">
        <f t="shared" si="59"/>
        <v>2.2000000000000002</v>
      </c>
      <c r="X225" s="283"/>
    </row>
    <row r="226" spans="1:24" s="8" customFormat="1" outlineLevel="2">
      <c r="A226" s="416">
        <f>D$57</f>
        <v>50</v>
      </c>
      <c r="B226" s="416">
        <f>B$57</f>
        <v>0.2</v>
      </c>
      <c r="C226" s="411">
        <f>IF(C$217&gt;$A226,$A226-$A225,C$217-SUM(C$220:C225))</f>
        <v>0</v>
      </c>
      <c r="D226" s="416">
        <f>IF(D$217&gt;$A226,$A226-$A225,D$217-SUM(D$220:D225))</f>
        <v>0</v>
      </c>
      <c r="E226" s="416">
        <f>IF(E$217&gt;$A226,$A226-$A225,E$217-SUM(E$220:E225))</f>
        <v>5.1010000000000026</v>
      </c>
      <c r="F226" s="416">
        <f>IF(F$217&gt;$A226,$A226-$A225,F$217-SUM(F$220:F225))</f>
        <v>30</v>
      </c>
      <c r="G226" s="416">
        <f>IF(G$217&gt;$A226,$A226-$A225,G$217-SUM(G$220:G225))</f>
        <v>30</v>
      </c>
      <c r="H226" s="416">
        <f>IF(H$217&gt;$A226,$A226-$A225,H$217-SUM(H$220:H225))</f>
        <v>30</v>
      </c>
      <c r="I226" s="416">
        <f>IF(I$217&gt;$A226,$A226-$A225,I$217-SUM(I$220:I225))</f>
        <v>30</v>
      </c>
      <c r="J226" s="416">
        <f>IF(J$217&gt;$A226,$A226-$A225,J$217-SUM(J$220:J225))</f>
        <v>30</v>
      </c>
      <c r="K226" s="416">
        <f>IF(K$217&gt;$A226,$A226-$A225,K$217-SUM(K$220:K225))</f>
        <v>30</v>
      </c>
      <c r="L226" s="416">
        <f>IF(L$217&gt;$A226,$A226-$A225,L$217-SUM(L$220:L225))</f>
        <v>30</v>
      </c>
      <c r="M226" s="283"/>
      <c r="N226" s="405">
        <f t="shared" si="59"/>
        <v>0</v>
      </c>
      <c r="O226" s="95">
        <f t="shared" si="59"/>
        <v>0</v>
      </c>
      <c r="P226" s="95">
        <f t="shared" si="59"/>
        <v>1.0202000000000007</v>
      </c>
      <c r="Q226" s="95">
        <f t="shared" si="59"/>
        <v>6</v>
      </c>
      <c r="R226" s="95">
        <f t="shared" si="59"/>
        <v>6</v>
      </c>
      <c r="S226" s="95">
        <f t="shared" si="59"/>
        <v>6</v>
      </c>
      <c r="T226" s="95">
        <f t="shared" si="59"/>
        <v>6</v>
      </c>
      <c r="U226" s="95">
        <f t="shared" si="59"/>
        <v>6</v>
      </c>
      <c r="V226" s="95">
        <f t="shared" si="59"/>
        <v>6</v>
      </c>
      <c r="W226" s="95">
        <f t="shared" si="59"/>
        <v>6</v>
      </c>
      <c r="X226" s="283"/>
    </row>
    <row r="227" spans="1:24" s="8" customFormat="1" outlineLevel="2">
      <c r="A227" s="416">
        <f>D$58</f>
        <v>75</v>
      </c>
      <c r="B227" s="416">
        <f>B$58</f>
        <v>0.15</v>
      </c>
      <c r="C227" s="411">
        <f>IF(C$217&gt;$A227,$A227-$A226,C$217-SUM(C$220:C226))</f>
        <v>0</v>
      </c>
      <c r="D227" s="416">
        <f>IF(D$217&gt;$A227,$A227-$A226,D$217-SUM(D$220:D226))</f>
        <v>0</v>
      </c>
      <c r="E227" s="416">
        <f>IF(E$217&gt;$A227,$A227-$A226,E$217-SUM(E$220:E226))</f>
        <v>0</v>
      </c>
      <c r="F227" s="416">
        <f>IF(F$217&gt;$A227,$A227-$A226,F$217-SUM(F$220:F226))</f>
        <v>12.325000000000003</v>
      </c>
      <c r="G227" s="416">
        <f>IF(G$217&gt;$A227,$A227-$A226,G$217-SUM(G$220:G226))</f>
        <v>25</v>
      </c>
      <c r="H227" s="416">
        <f>IF(H$217&gt;$A227,$A227-$A226,H$217-SUM(H$220:H226))</f>
        <v>25</v>
      </c>
      <c r="I227" s="416">
        <f>IF(I$217&gt;$A227,$A227-$A226,I$217-SUM(I$220:I226))</f>
        <v>25</v>
      </c>
      <c r="J227" s="416">
        <f>IF(J$217&gt;$A227,$A227-$A226,J$217-SUM(J$220:J226))</f>
        <v>25</v>
      </c>
      <c r="K227" s="416">
        <f>IF(K$217&gt;$A227,$A227-$A226,K$217-SUM(K$220:K226))</f>
        <v>25</v>
      </c>
      <c r="L227" s="416">
        <f>IF(L$217&gt;$A227,$A227-$A226,L$217-SUM(L$220:L226))</f>
        <v>25</v>
      </c>
      <c r="M227" s="283"/>
      <c r="N227" s="405">
        <f t="shared" si="59"/>
        <v>0</v>
      </c>
      <c r="O227" s="95">
        <f t="shared" si="59"/>
        <v>0</v>
      </c>
      <c r="P227" s="95">
        <f t="shared" si="59"/>
        <v>0</v>
      </c>
      <c r="Q227" s="95">
        <f t="shared" si="59"/>
        <v>1.8487500000000003</v>
      </c>
      <c r="R227" s="95">
        <f t="shared" si="59"/>
        <v>3.75</v>
      </c>
      <c r="S227" s="95">
        <f t="shared" si="59"/>
        <v>3.75</v>
      </c>
      <c r="T227" s="95">
        <f t="shared" si="59"/>
        <v>3.75</v>
      </c>
      <c r="U227" s="95">
        <f t="shared" si="59"/>
        <v>3.75</v>
      </c>
      <c r="V227" s="95">
        <f t="shared" si="59"/>
        <v>3.75</v>
      </c>
      <c r="W227" s="95">
        <f t="shared" si="59"/>
        <v>3.75</v>
      </c>
      <c r="X227" s="283"/>
    </row>
    <row r="228" spans="1:24" s="8" customFormat="1" outlineLevel="2">
      <c r="A228" s="416">
        <f>D$59</f>
        <v>9999</v>
      </c>
      <c r="B228" s="416">
        <f>B$59</f>
        <v>0.1</v>
      </c>
      <c r="C228" s="411">
        <f>IF(C$217&gt;$A228,$A228-$A227,C$217-SUM(C$220:C227))</f>
        <v>0</v>
      </c>
      <c r="D228" s="416">
        <f>IF(D$217&gt;$A228,$A228-$A227,D$217-SUM(D$220:D227))</f>
        <v>0</v>
      </c>
      <c r="E228" s="416">
        <f>IF(E$217&gt;$A228,$A228-$A227,E$217-SUM(E$220:E227))</f>
        <v>0</v>
      </c>
      <c r="F228" s="416">
        <f>IF(F$217&gt;$A228,$A228-$A227,F$217-SUM(F$220:F227))</f>
        <v>0</v>
      </c>
      <c r="G228" s="416">
        <f>IF(G$217&gt;$A228,$A228-$A227,G$217-SUM(G$220:G227))</f>
        <v>58.560999999999979</v>
      </c>
      <c r="H228" s="416">
        <f>IF(H$217&gt;$A228,$A228-$A227,H$217-SUM(H$220:H227))</f>
        <v>126.46300000000002</v>
      </c>
      <c r="I228" s="416">
        <f>IF(I$217&gt;$A228,$A228-$A227,I$217-SUM(I$220:I227))</f>
        <v>152.57699999999997</v>
      </c>
      <c r="J228" s="416">
        <f>IF(J$217&gt;$A228,$A228-$A227,J$217-SUM(J$220:J227))</f>
        <v>181.05</v>
      </c>
      <c r="K228" s="416">
        <f>IF(K$217&gt;$A228,$A228-$A227,K$217-SUM(K$220:K227))</f>
        <v>206.036</v>
      </c>
      <c r="L228" s="416">
        <f>IF(L$217&gt;$A228,$A228-$A227,L$217-SUM(L$220:L227))</f>
        <v>182.94899999999996</v>
      </c>
      <c r="M228" s="283"/>
      <c r="N228" s="405">
        <f t="shared" si="59"/>
        <v>0</v>
      </c>
      <c r="O228" s="95">
        <f t="shared" si="59"/>
        <v>0</v>
      </c>
      <c r="P228" s="95">
        <f t="shared" si="59"/>
        <v>0</v>
      </c>
      <c r="Q228" s="95">
        <f t="shared" si="59"/>
        <v>0</v>
      </c>
      <c r="R228" s="95">
        <f t="shared" si="59"/>
        <v>5.8560999999999979</v>
      </c>
      <c r="S228" s="95">
        <f t="shared" si="59"/>
        <v>12.646300000000004</v>
      </c>
      <c r="T228" s="95">
        <f t="shared" si="59"/>
        <v>15.257699999999998</v>
      </c>
      <c r="U228" s="95">
        <f t="shared" si="59"/>
        <v>18.105</v>
      </c>
      <c r="V228" s="95">
        <f t="shared" si="59"/>
        <v>20.6036</v>
      </c>
      <c r="W228" s="95">
        <f t="shared" si="59"/>
        <v>18.294899999999995</v>
      </c>
      <c r="X228" s="283"/>
    </row>
    <row r="229" spans="1:24" s="8" customFormat="1" outlineLevel="1">
      <c r="A229" s="404"/>
      <c r="B229" s="417" t="str">
        <f>CONCATENATE(B216," Total")</f>
        <v>Apple Total</v>
      </c>
      <c r="C229" s="418">
        <f>SUM(C220:C228)</f>
        <v>3.7039999999999997</v>
      </c>
      <c r="D229" s="419">
        <f t="shared" ref="D229:L229" si="60">SUM(D220:D228)</f>
        <v>13.675000000000001</v>
      </c>
      <c r="E229" s="419">
        <f t="shared" si="60"/>
        <v>25.101000000000003</v>
      </c>
      <c r="F229" s="419">
        <f t="shared" si="60"/>
        <v>62.325000000000003</v>
      </c>
      <c r="G229" s="419">
        <f t="shared" si="60"/>
        <v>133.56099999999998</v>
      </c>
      <c r="H229" s="419">
        <f t="shared" si="60"/>
        <v>201.46300000000002</v>
      </c>
      <c r="I229" s="419">
        <f t="shared" si="60"/>
        <v>227.57699999999997</v>
      </c>
      <c r="J229" s="419">
        <f t="shared" si="60"/>
        <v>256.05</v>
      </c>
      <c r="K229" s="419">
        <f t="shared" si="60"/>
        <v>281.036</v>
      </c>
      <c r="L229" s="419">
        <f t="shared" si="60"/>
        <v>257.94899999999996</v>
      </c>
      <c r="M229" s="283"/>
      <c r="N229" s="420">
        <f>SUM(N220:N228)</f>
        <v>2.3268</v>
      </c>
      <c r="O229" s="420">
        <f t="shared" ref="O229:W229" si="61">SUM(O220:O228)</f>
        <v>5.8185000000000002</v>
      </c>
      <c r="P229" s="420">
        <f t="shared" si="61"/>
        <v>8.2302</v>
      </c>
      <c r="Q229" s="420">
        <f t="shared" si="61"/>
        <v>15.058750000000002</v>
      </c>
      <c r="R229" s="420">
        <f t="shared" si="61"/>
        <v>22.816099999999999</v>
      </c>
      <c r="S229" s="420">
        <f t="shared" si="61"/>
        <v>29.606300000000005</v>
      </c>
      <c r="T229" s="420">
        <f t="shared" si="61"/>
        <v>32.217700000000001</v>
      </c>
      <c r="U229" s="420">
        <f t="shared" si="61"/>
        <v>35.064999999999998</v>
      </c>
      <c r="V229" s="420">
        <f t="shared" si="61"/>
        <v>37.563600000000001</v>
      </c>
      <c r="W229" s="420">
        <f t="shared" si="61"/>
        <v>35.254899999999992</v>
      </c>
      <c r="X229" s="283"/>
    </row>
    <row r="230" spans="1:24" s="8" customFormat="1" outlineLevel="1">
      <c r="B230" s="421" t="s">
        <v>778</v>
      </c>
      <c r="C230" s="422">
        <f t="shared" ref="C230:L230" si="62">C229-C217</f>
        <v>0</v>
      </c>
      <c r="D230" s="423">
        <f t="shared" si="62"/>
        <v>0</v>
      </c>
      <c r="E230" s="423">
        <f t="shared" si="62"/>
        <v>0</v>
      </c>
      <c r="F230" s="423">
        <f t="shared" si="62"/>
        <v>0</v>
      </c>
      <c r="G230" s="423">
        <f t="shared" si="62"/>
        <v>0</v>
      </c>
      <c r="H230" s="423">
        <f t="shared" si="62"/>
        <v>0</v>
      </c>
      <c r="I230" s="423">
        <f t="shared" si="62"/>
        <v>0</v>
      </c>
      <c r="J230" s="423">
        <f t="shared" si="62"/>
        <v>0</v>
      </c>
      <c r="K230" s="423">
        <f t="shared" si="62"/>
        <v>0</v>
      </c>
      <c r="L230" s="423">
        <f t="shared" si="62"/>
        <v>0</v>
      </c>
      <c r="M230" s="283"/>
      <c r="N230" s="283"/>
      <c r="O230" s="283"/>
      <c r="P230" s="283"/>
      <c r="Q230" s="283"/>
      <c r="R230" s="283"/>
      <c r="S230" s="283"/>
      <c r="T230" s="283"/>
      <c r="U230" s="283"/>
      <c r="V230" s="283"/>
      <c r="W230" s="283"/>
      <c r="X230" s="283"/>
    </row>
    <row r="231" spans="1:24" s="8" customFormat="1" outlineLevel="1">
      <c r="B231" s="283"/>
      <c r="C231" s="283"/>
      <c r="M231" s="283"/>
      <c r="X231" s="283"/>
    </row>
    <row r="232" spans="1:24" s="8" customFormat="1" outlineLevel="1" collapsed="1">
      <c r="A232" s="8">
        <f>A216+1</f>
        <v>4</v>
      </c>
      <c r="B232" s="424" t="str">
        <f>A143</f>
        <v>Asus</v>
      </c>
      <c r="C232" s="80">
        <v>2007</v>
      </c>
      <c r="D232" s="66">
        <f>C232+1</f>
        <v>2008</v>
      </c>
      <c r="E232" s="66">
        <f t="shared" ref="E232:L232" si="63">D232+1</f>
        <v>2009</v>
      </c>
      <c r="F232" s="66">
        <f t="shared" si="63"/>
        <v>2010</v>
      </c>
      <c r="G232" s="66">
        <f t="shared" si="63"/>
        <v>2011</v>
      </c>
      <c r="H232" s="66">
        <f t="shared" si="63"/>
        <v>2012</v>
      </c>
      <c r="I232" s="66">
        <f t="shared" si="63"/>
        <v>2013</v>
      </c>
      <c r="J232" s="66">
        <f t="shared" si="63"/>
        <v>2014</v>
      </c>
      <c r="K232" s="66">
        <f t="shared" si="63"/>
        <v>2015</v>
      </c>
      <c r="L232" s="66">
        <f t="shared" si="63"/>
        <v>2016</v>
      </c>
      <c r="M232" s="283"/>
      <c r="N232" s="168">
        <f t="shared" ref="N232:W232" si="64">C232</f>
        <v>2007</v>
      </c>
      <c r="O232" s="66">
        <f t="shared" si="64"/>
        <v>2008</v>
      </c>
      <c r="P232" s="66">
        <f t="shared" si="64"/>
        <v>2009</v>
      </c>
      <c r="Q232" s="66">
        <f t="shared" si="64"/>
        <v>2010</v>
      </c>
      <c r="R232" s="66">
        <f t="shared" si="64"/>
        <v>2011</v>
      </c>
      <c r="S232" s="66">
        <f t="shared" si="64"/>
        <v>2012</v>
      </c>
      <c r="T232" s="66">
        <f t="shared" si="64"/>
        <v>2013</v>
      </c>
      <c r="U232" s="66">
        <f t="shared" si="64"/>
        <v>2014</v>
      </c>
      <c r="V232" s="66">
        <f t="shared" si="64"/>
        <v>2015</v>
      </c>
      <c r="W232" s="66">
        <f t="shared" si="64"/>
        <v>2016</v>
      </c>
      <c r="X232" s="283"/>
    </row>
    <row r="233" spans="1:24" s="8" customFormat="1" outlineLevel="2">
      <c r="B233" s="8" t="s">
        <v>1348</v>
      </c>
      <c r="C233" s="411">
        <f t="shared" ref="C233:L233" si="65">VLOOKUP($B232,$A$140:$K$175,C$183+1,FALSE)</f>
        <v>0</v>
      </c>
      <c r="D233" s="412">
        <f t="shared" si="65"/>
        <v>0</v>
      </c>
      <c r="E233" s="412">
        <f t="shared" si="65"/>
        <v>0</v>
      </c>
      <c r="F233" s="412">
        <f t="shared" si="65"/>
        <v>8.6439999999999989E-3</v>
      </c>
      <c r="G233" s="412">
        <f t="shared" si="65"/>
        <v>1.730226</v>
      </c>
      <c r="H233" s="412">
        <f t="shared" si="65"/>
        <v>6.843062999999999</v>
      </c>
      <c r="I233" s="412">
        <f t="shared" si="65"/>
        <v>12.209292000000001</v>
      </c>
      <c r="J233" s="412">
        <f t="shared" si="65"/>
        <v>11.795386000000001</v>
      </c>
      <c r="K233" s="412">
        <f t="shared" si="65"/>
        <v>7.0838107568351711</v>
      </c>
      <c r="L233" s="412">
        <f t="shared" si="65"/>
        <v>3.8571079999999998</v>
      </c>
      <c r="M233" s="283"/>
      <c r="N233" s="283"/>
      <c r="X233" s="283"/>
    </row>
    <row r="234" spans="1:24" s="8" customFormat="1" outlineLevel="2">
      <c r="C234" s="413"/>
      <c r="D234" s="414"/>
      <c r="E234" s="414"/>
      <c r="F234" s="414"/>
      <c r="G234" s="414"/>
      <c r="H234" s="414"/>
      <c r="I234" s="414"/>
      <c r="J234" s="414"/>
      <c r="K234" s="414"/>
      <c r="L234" s="414"/>
      <c r="M234" s="283"/>
      <c r="N234" s="283"/>
      <c r="X234" s="283"/>
    </row>
    <row r="235" spans="1:24" s="8" customFormat="1" outlineLevel="2">
      <c r="A235" s="66" t="s">
        <v>1349</v>
      </c>
      <c r="B235" s="66" t="s">
        <v>1350</v>
      </c>
      <c r="C235" s="415"/>
      <c r="F235" s="9"/>
      <c r="M235" s="283"/>
      <c r="N235" s="283"/>
      <c r="X235" s="283"/>
    </row>
    <row r="236" spans="1:24" s="8" customFormat="1" outlineLevel="2">
      <c r="A236" s="416">
        <f>D$51</f>
        <v>0.5</v>
      </c>
      <c r="B236" s="416">
        <f>B$51</f>
        <v>0.98</v>
      </c>
      <c r="C236" s="411">
        <f>IF(C$233&gt;$A236,$A236,C$233)</f>
        <v>0</v>
      </c>
      <c r="D236" s="416">
        <f t="shared" ref="D236:L236" si="66">IF(D$233&gt;$A236,$A236,D$233)</f>
        <v>0</v>
      </c>
      <c r="E236" s="416">
        <f t="shared" si="66"/>
        <v>0</v>
      </c>
      <c r="F236" s="416">
        <f t="shared" si="66"/>
        <v>8.6439999999999989E-3</v>
      </c>
      <c r="G236" s="416">
        <f t="shared" si="66"/>
        <v>0.5</v>
      </c>
      <c r="H236" s="416">
        <f t="shared" si="66"/>
        <v>0.5</v>
      </c>
      <c r="I236" s="416">
        <f t="shared" si="66"/>
        <v>0.5</v>
      </c>
      <c r="J236" s="416">
        <f t="shared" si="66"/>
        <v>0.5</v>
      </c>
      <c r="K236" s="416">
        <f t="shared" si="66"/>
        <v>0.5</v>
      </c>
      <c r="L236" s="416">
        <f t="shared" si="66"/>
        <v>0.5</v>
      </c>
      <c r="M236" s="283"/>
      <c r="N236" s="405">
        <f t="shared" ref="N236:W244" si="67">C236*$B236</f>
        <v>0</v>
      </c>
      <c r="O236" s="95">
        <f t="shared" si="67"/>
        <v>0</v>
      </c>
      <c r="P236" s="95">
        <f t="shared" si="67"/>
        <v>0</v>
      </c>
      <c r="Q236" s="95">
        <f t="shared" si="67"/>
        <v>8.4711199999999987E-3</v>
      </c>
      <c r="R236" s="95">
        <f t="shared" si="67"/>
        <v>0.49</v>
      </c>
      <c r="S236" s="95">
        <f t="shared" si="67"/>
        <v>0.49</v>
      </c>
      <c r="T236" s="95">
        <f t="shared" si="67"/>
        <v>0.49</v>
      </c>
      <c r="U236" s="95">
        <f t="shared" si="67"/>
        <v>0.49</v>
      </c>
      <c r="V236" s="95">
        <f t="shared" si="67"/>
        <v>0.49</v>
      </c>
      <c r="W236" s="95">
        <f t="shared" si="67"/>
        <v>0.49</v>
      </c>
      <c r="X236" s="283"/>
    </row>
    <row r="237" spans="1:24" s="8" customFormat="1" outlineLevel="2">
      <c r="A237" s="416">
        <f>D$52</f>
        <v>1</v>
      </c>
      <c r="B237" s="416">
        <f>B$52</f>
        <v>0.78</v>
      </c>
      <c r="C237" s="411">
        <f>IF(C$233&gt;$A237,$A237-$A236,C$233-SUM(C236:C$236))</f>
        <v>0</v>
      </c>
      <c r="D237" s="416">
        <f>IF(D$233&gt;$A237,$A237-$A236,D$233-SUM(D236:D$236))</f>
        <v>0</v>
      </c>
      <c r="E237" s="416">
        <f>IF(E$233&gt;$A237,$A237-$A236,E$233-SUM(E236:E$236))</f>
        <v>0</v>
      </c>
      <c r="F237" s="416">
        <f>IF(F$233&gt;$A237,$A237-$A236,F$233-SUM(F236:F$236))</f>
        <v>0</v>
      </c>
      <c r="G237" s="416">
        <f>IF(G$233&gt;$A237,$A237-$A236,G$233-SUM(G236:G$236))</f>
        <v>0.5</v>
      </c>
      <c r="H237" s="416">
        <f>IF(H$233&gt;$A237,$A237-$A236,H$233-SUM(H236:H$236))</f>
        <v>0.5</v>
      </c>
      <c r="I237" s="416">
        <f>IF(I$233&gt;$A237,$A237-$A236,I$233-SUM(I236:I$236))</f>
        <v>0.5</v>
      </c>
      <c r="J237" s="416">
        <f>IF(J$233&gt;$A237,$A237-$A236,J$233-SUM(J236:J$236))</f>
        <v>0.5</v>
      </c>
      <c r="K237" s="416">
        <f>IF(K$233&gt;$A237,$A237-$A236,K$233-SUM(K236:K$236))</f>
        <v>0.5</v>
      </c>
      <c r="L237" s="416">
        <f>IF(L$233&gt;$A237,$A237-$A236,L$233-SUM(L236:L$236))</f>
        <v>0.5</v>
      </c>
      <c r="M237" s="283"/>
      <c r="N237" s="405">
        <f t="shared" si="67"/>
        <v>0</v>
      </c>
      <c r="O237" s="95">
        <f t="shared" si="67"/>
        <v>0</v>
      </c>
      <c r="P237" s="95">
        <f t="shared" si="67"/>
        <v>0</v>
      </c>
      <c r="Q237" s="95">
        <f t="shared" si="67"/>
        <v>0</v>
      </c>
      <c r="R237" s="95">
        <f t="shared" si="67"/>
        <v>0.39</v>
      </c>
      <c r="S237" s="95">
        <f t="shared" si="67"/>
        <v>0.39</v>
      </c>
      <c r="T237" s="95">
        <f t="shared" si="67"/>
        <v>0.39</v>
      </c>
      <c r="U237" s="95">
        <f t="shared" si="67"/>
        <v>0.39</v>
      </c>
      <c r="V237" s="95">
        <f t="shared" si="67"/>
        <v>0.39</v>
      </c>
      <c r="W237" s="95">
        <f t="shared" si="67"/>
        <v>0.39</v>
      </c>
      <c r="X237" s="283"/>
    </row>
    <row r="238" spans="1:24" s="8" customFormat="1" outlineLevel="2">
      <c r="A238" s="416">
        <f>D$53</f>
        <v>2</v>
      </c>
      <c r="B238" s="416">
        <f>B$53</f>
        <v>0.68</v>
      </c>
      <c r="C238" s="411">
        <f>IF(C$233&gt;$A238,$A238-$A237,C$233-SUM(C$236:C237))</f>
        <v>0</v>
      </c>
      <c r="D238" s="416">
        <f>IF(D$233&gt;$A238,$A238-$A237,D$233-SUM(D$236:D237))</f>
        <v>0</v>
      </c>
      <c r="E238" s="416">
        <f>IF(E$233&gt;$A238,$A238-$A237,E$233-SUM(E$236:E237))</f>
        <v>0</v>
      </c>
      <c r="F238" s="416">
        <f>IF(F$233&gt;$A238,$A238-$A237,F$233-SUM(F$236:F237))</f>
        <v>0</v>
      </c>
      <c r="G238" s="416">
        <f>IF(G$233&gt;$A238,$A238-$A237,G$233-SUM(G$236:G237))</f>
        <v>0.73022600000000004</v>
      </c>
      <c r="H238" s="416">
        <f>IF(H$233&gt;$A238,$A238-$A237,H$233-SUM(H$236:H237))</f>
        <v>1</v>
      </c>
      <c r="I238" s="416">
        <f>IF(I$233&gt;$A238,$A238-$A237,I$233-SUM(I$236:I237))</f>
        <v>1</v>
      </c>
      <c r="J238" s="416">
        <f>IF(J$233&gt;$A238,$A238-$A237,J$233-SUM(J$236:J237))</f>
        <v>1</v>
      </c>
      <c r="K238" s="416">
        <f>IF(K$233&gt;$A238,$A238-$A237,K$233-SUM(K$236:K237))</f>
        <v>1</v>
      </c>
      <c r="L238" s="416">
        <f>IF(L$233&gt;$A238,$A238-$A237,L$233-SUM(L$236:L237))</f>
        <v>1</v>
      </c>
      <c r="M238" s="283"/>
      <c r="N238" s="405">
        <f t="shared" si="67"/>
        <v>0</v>
      </c>
      <c r="O238" s="95">
        <f t="shared" si="67"/>
        <v>0</v>
      </c>
      <c r="P238" s="95">
        <f t="shared" si="67"/>
        <v>0</v>
      </c>
      <c r="Q238" s="95">
        <f t="shared" si="67"/>
        <v>0</v>
      </c>
      <c r="R238" s="95">
        <f t="shared" si="67"/>
        <v>0.49655368000000005</v>
      </c>
      <c r="S238" s="95">
        <f t="shared" si="67"/>
        <v>0.68</v>
      </c>
      <c r="T238" s="95">
        <f t="shared" si="67"/>
        <v>0.68</v>
      </c>
      <c r="U238" s="95">
        <f t="shared" si="67"/>
        <v>0.68</v>
      </c>
      <c r="V238" s="95">
        <f t="shared" si="67"/>
        <v>0.68</v>
      </c>
      <c r="W238" s="95">
        <f t="shared" si="67"/>
        <v>0.68</v>
      </c>
      <c r="X238" s="283"/>
    </row>
    <row r="239" spans="1:24" s="8" customFormat="1" outlineLevel="2">
      <c r="A239" s="416">
        <f>D$54</f>
        <v>5</v>
      </c>
      <c r="B239" s="416">
        <f>B$54</f>
        <v>0.45</v>
      </c>
      <c r="C239" s="411">
        <f>IF(C$233&gt;$A239,$A239-$A238,C$233-SUM(C$236:C238))</f>
        <v>0</v>
      </c>
      <c r="D239" s="416">
        <f>IF(D$233&gt;$A239,$A239-$A238,D$233-SUM(D$236:D238))</f>
        <v>0</v>
      </c>
      <c r="E239" s="416">
        <f>IF(E$233&gt;$A239,$A239-$A238,E$233-SUM(E$236:E238))</f>
        <v>0</v>
      </c>
      <c r="F239" s="416">
        <f>IF(F$233&gt;$A239,$A239-$A238,F$233-SUM(F$236:F238))</f>
        <v>0</v>
      </c>
      <c r="G239" s="416">
        <f>IF(G$233&gt;$A239,$A239-$A238,G$233-SUM(G$236:G238))</f>
        <v>0</v>
      </c>
      <c r="H239" s="416">
        <f>IF(H$233&gt;$A239,$A239-$A238,H$233-SUM(H$236:H238))</f>
        <v>3</v>
      </c>
      <c r="I239" s="416">
        <f>IF(I$233&gt;$A239,$A239-$A238,I$233-SUM(I$236:I238))</f>
        <v>3</v>
      </c>
      <c r="J239" s="416">
        <f>IF(J$233&gt;$A239,$A239-$A238,J$233-SUM(J$236:J238))</f>
        <v>3</v>
      </c>
      <c r="K239" s="416">
        <f>IF(K$233&gt;$A239,$A239-$A238,K$233-SUM(K$236:K238))</f>
        <v>3</v>
      </c>
      <c r="L239" s="416">
        <f>IF(L$233&gt;$A239,$A239-$A238,L$233-SUM(L$236:L238))</f>
        <v>1.8571079999999998</v>
      </c>
      <c r="M239" s="283"/>
      <c r="N239" s="405">
        <f t="shared" si="67"/>
        <v>0</v>
      </c>
      <c r="O239" s="95">
        <f t="shared" si="67"/>
        <v>0</v>
      </c>
      <c r="P239" s="95">
        <f t="shared" si="67"/>
        <v>0</v>
      </c>
      <c r="Q239" s="95">
        <f t="shared" si="67"/>
        <v>0</v>
      </c>
      <c r="R239" s="95">
        <f t="shared" si="67"/>
        <v>0</v>
      </c>
      <c r="S239" s="95">
        <f t="shared" si="67"/>
        <v>1.35</v>
      </c>
      <c r="T239" s="95">
        <f t="shared" si="67"/>
        <v>1.35</v>
      </c>
      <c r="U239" s="95">
        <f t="shared" si="67"/>
        <v>1.35</v>
      </c>
      <c r="V239" s="95">
        <f t="shared" si="67"/>
        <v>1.35</v>
      </c>
      <c r="W239" s="95">
        <f t="shared" si="67"/>
        <v>0.83569859999999996</v>
      </c>
      <c r="X239" s="283"/>
    </row>
    <row r="240" spans="1:24" s="8" customFormat="1" outlineLevel="2">
      <c r="A240" s="416">
        <f>D$55</f>
        <v>10</v>
      </c>
      <c r="B240" s="416">
        <f>B$55</f>
        <v>0.42</v>
      </c>
      <c r="C240" s="411">
        <f>IF(C$233&gt;$A240,$A240-$A239,C$233-SUM(C$236:C239))</f>
        <v>0</v>
      </c>
      <c r="D240" s="416">
        <f>IF(D$233&gt;$A240,$A240-$A239,D$233-SUM(D$236:D239))</f>
        <v>0</v>
      </c>
      <c r="E240" s="416">
        <f>IF(E$233&gt;$A240,$A240-$A239,E$233-SUM(E$236:E239))</f>
        <v>0</v>
      </c>
      <c r="F240" s="416">
        <f>IF(F$233&gt;$A240,$A240-$A239,F$233-SUM(F$236:F239))</f>
        <v>0</v>
      </c>
      <c r="G240" s="416">
        <f>IF(G$233&gt;$A240,$A240-$A239,G$233-SUM(G$236:G239))</f>
        <v>0</v>
      </c>
      <c r="H240" s="416">
        <f>IF(H$233&gt;$A240,$A240-$A239,H$233-SUM(H$236:H239))</f>
        <v>1.843062999999999</v>
      </c>
      <c r="I240" s="416">
        <f>IF(I$233&gt;$A240,$A240-$A239,I$233-SUM(I$236:I239))</f>
        <v>5</v>
      </c>
      <c r="J240" s="416">
        <f>IF(J$233&gt;$A240,$A240-$A239,J$233-SUM(J$236:J239))</f>
        <v>5</v>
      </c>
      <c r="K240" s="416">
        <f>IF(K$233&gt;$A240,$A240-$A239,K$233-SUM(K$236:K239))</f>
        <v>2.0838107568351711</v>
      </c>
      <c r="L240" s="416">
        <f>IF(L$233&gt;$A240,$A240-$A239,L$233-SUM(L$236:L239))</f>
        <v>0</v>
      </c>
      <c r="M240" s="283"/>
      <c r="N240" s="405">
        <f t="shared" si="67"/>
        <v>0</v>
      </c>
      <c r="O240" s="95">
        <f t="shared" si="67"/>
        <v>0</v>
      </c>
      <c r="P240" s="95">
        <f t="shared" si="67"/>
        <v>0</v>
      </c>
      <c r="Q240" s="95">
        <f t="shared" si="67"/>
        <v>0</v>
      </c>
      <c r="R240" s="95">
        <f t="shared" si="67"/>
        <v>0</v>
      </c>
      <c r="S240" s="95">
        <f t="shared" si="67"/>
        <v>0.77408645999999959</v>
      </c>
      <c r="T240" s="95">
        <f t="shared" si="67"/>
        <v>2.1</v>
      </c>
      <c r="U240" s="95">
        <f t="shared" si="67"/>
        <v>2.1</v>
      </c>
      <c r="V240" s="95">
        <f t="shared" si="67"/>
        <v>0.8752005178707718</v>
      </c>
      <c r="W240" s="95">
        <f t="shared" si="67"/>
        <v>0</v>
      </c>
      <c r="X240" s="283"/>
    </row>
    <row r="241" spans="1:24" s="8" customFormat="1" outlineLevel="2">
      <c r="A241" s="416">
        <f>D$56</f>
        <v>20</v>
      </c>
      <c r="B241" s="416">
        <f>B$56</f>
        <v>0.22</v>
      </c>
      <c r="C241" s="411">
        <f>IF(C$233&gt;$A241,$A241-$A240,C$233-SUM(C$236:C240))</f>
        <v>0</v>
      </c>
      <c r="D241" s="416">
        <f>IF(D$233&gt;$A241,$A241-$A240,D$233-SUM(D$236:D240))</f>
        <v>0</v>
      </c>
      <c r="E241" s="416">
        <f>IF(E$233&gt;$A241,$A241-$A240,E$233-SUM(E$236:E240))</f>
        <v>0</v>
      </c>
      <c r="F241" s="416">
        <f>IF(F$233&gt;$A241,$A241-$A240,F$233-SUM(F$236:F240))</f>
        <v>0</v>
      </c>
      <c r="G241" s="416">
        <f>IF(G$233&gt;$A241,$A241-$A240,G$233-SUM(G$236:G240))</f>
        <v>0</v>
      </c>
      <c r="H241" s="416">
        <f>IF(H$233&gt;$A241,$A241-$A240,H$233-SUM(H$236:H240))</f>
        <v>0</v>
      </c>
      <c r="I241" s="416">
        <f>IF(I$233&gt;$A241,$A241-$A240,I$233-SUM(I$236:I240))</f>
        <v>2.2092920000000014</v>
      </c>
      <c r="J241" s="416">
        <f>IF(J$233&gt;$A241,$A241-$A240,J$233-SUM(J$236:J240))</f>
        <v>1.7953860000000006</v>
      </c>
      <c r="K241" s="416">
        <f>IF(K$233&gt;$A241,$A241-$A240,K$233-SUM(K$236:K240))</f>
        <v>0</v>
      </c>
      <c r="L241" s="416">
        <f>IF(L$233&gt;$A241,$A241-$A240,L$233-SUM(L$236:L240))</f>
        <v>0</v>
      </c>
      <c r="M241" s="283"/>
      <c r="N241" s="405">
        <f t="shared" si="67"/>
        <v>0</v>
      </c>
      <c r="O241" s="95">
        <f t="shared" si="67"/>
        <v>0</v>
      </c>
      <c r="P241" s="95">
        <f t="shared" si="67"/>
        <v>0</v>
      </c>
      <c r="Q241" s="95">
        <f t="shared" si="67"/>
        <v>0</v>
      </c>
      <c r="R241" s="95">
        <f t="shared" si="67"/>
        <v>0</v>
      </c>
      <c r="S241" s="95">
        <f t="shared" si="67"/>
        <v>0</v>
      </c>
      <c r="T241" s="95">
        <f t="shared" si="67"/>
        <v>0.48604424000000029</v>
      </c>
      <c r="U241" s="95">
        <f t="shared" si="67"/>
        <v>0.39498492000000013</v>
      </c>
      <c r="V241" s="95">
        <f t="shared" si="67"/>
        <v>0</v>
      </c>
      <c r="W241" s="95">
        <f t="shared" si="67"/>
        <v>0</v>
      </c>
      <c r="X241" s="283"/>
    </row>
    <row r="242" spans="1:24" s="8" customFormat="1" outlineLevel="2">
      <c r="A242" s="416">
        <f>D$57</f>
        <v>50</v>
      </c>
      <c r="B242" s="416">
        <f>B$57</f>
        <v>0.2</v>
      </c>
      <c r="C242" s="411">
        <f>IF(C$233&gt;$A242,$A242-$A241,C$233-SUM(C$236:C241))</f>
        <v>0</v>
      </c>
      <c r="D242" s="416">
        <f>IF(D$233&gt;$A242,$A242-$A241,D$233-SUM(D$236:D241))</f>
        <v>0</v>
      </c>
      <c r="E242" s="416">
        <f>IF(E$233&gt;$A242,$A242-$A241,E$233-SUM(E$236:E241))</f>
        <v>0</v>
      </c>
      <c r="F242" s="416">
        <f>IF(F$233&gt;$A242,$A242-$A241,F$233-SUM(F$236:F241))</f>
        <v>0</v>
      </c>
      <c r="G242" s="416">
        <f>IF(G$233&gt;$A242,$A242-$A241,G$233-SUM(G$236:G241))</f>
        <v>0</v>
      </c>
      <c r="H242" s="416">
        <f>IF(H$233&gt;$A242,$A242-$A241,H$233-SUM(H$236:H241))</f>
        <v>0</v>
      </c>
      <c r="I242" s="416">
        <f>IF(I$233&gt;$A242,$A242-$A241,I$233-SUM(I$236:I241))</f>
        <v>0</v>
      </c>
      <c r="J242" s="416">
        <f>IF(J$233&gt;$A242,$A242-$A241,J$233-SUM(J$236:J241))</f>
        <v>0</v>
      </c>
      <c r="K242" s="416">
        <f>IF(K$233&gt;$A242,$A242-$A241,K$233-SUM(K$236:K241))</f>
        <v>0</v>
      </c>
      <c r="L242" s="416">
        <f>IF(L$233&gt;$A242,$A242-$A241,L$233-SUM(L$236:L241))</f>
        <v>0</v>
      </c>
      <c r="M242" s="283"/>
      <c r="N242" s="405">
        <f t="shared" si="67"/>
        <v>0</v>
      </c>
      <c r="O242" s="95">
        <f t="shared" si="67"/>
        <v>0</v>
      </c>
      <c r="P242" s="95">
        <f t="shared" si="67"/>
        <v>0</v>
      </c>
      <c r="Q242" s="95">
        <f t="shared" si="67"/>
        <v>0</v>
      </c>
      <c r="R242" s="95">
        <f t="shared" si="67"/>
        <v>0</v>
      </c>
      <c r="S242" s="95">
        <f t="shared" si="67"/>
        <v>0</v>
      </c>
      <c r="T242" s="95">
        <f t="shared" si="67"/>
        <v>0</v>
      </c>
      <c r="U242" s="95">
        <f t="shared" si="67"/>
        <v>0</v>
      </c>
      <c r="V242" s="95">
        <f t="shared" si="67"/>
        <v>0</v>
      </c>
      <c r="W242" s="95">
        <f t="shared" si="67"/>
        <v>0</v>
      </c>
      <c r="X242" s="283"/>
    </row>
    <row r="243" spans="1:24" s="8" customFormat="1" outlineLevel="2">
      <c r="A243" s="416">
        <f>D$58</f>
        <v>75</v>
      </c>
      <c r="B243" s="416">
        <f>B$58</f>
        <v>0.15</v>
      </c>
      <c r="C243" s="411">
        <f>IF(C$233&gt;$A243,$A243-$A242,C$233-SUM(C$236:C242))</f>
        <v>0</v>
      </c>
      <c r="D243" s="416">
        <f>IF(D$233&gt;$A243,$A243-$A242,D$233-SUM(D$236:D242))</f>
        <v>0</v>
      </c>
      <c r="E243" s="416">
        <f>IF(E$233&gt;$A243,$A243-$A242,E$233-SUM(E$236:E242))</f>
        <v>0</v>
      </c>
      <c r="F243" s="416">
        <f>IF(F$233&gt;$A243,$A243-$A242,F$233-SUM(F$236:F242))</f>
        <v>0</v>
      </c>
      <c r="G243" s="416">
        <f>IF(G$233&gt;$A243,$A243-$A242,G$233-SUM(G$236:G242))</f>
        <v>0</v>
      </c>
      <c r="H243" s="416">
        <f>IF(H$233&gt;$A243,$A243-$A242,H$233-SUM(H$236:H242))</f>
        <v>0</v>
      </c>
      <c r="I243" s="416">
        <f>IF(I$233&gt;$A243,$A243-$A242,I$233-SUM(I$236:I242))</f>
        <v>0</v>
      </c>
      <c r="J243" s="416">
        <f>IF(J$233&gt;$A243,$A243-$A242,J$233-SUM(J$236:J242))</f>
        <v>0</v>
      </c>
      <c r="K243" s="416">
        <f>IF(K$233&gt;$A243,$A243-$A242,K$233-SUM(K$236:K242))</f>
        <v>0</v>
      </c>
      <c r="L243" s="416">
        <f>IF(L$233&gt;$A243,$A243-$A242,L$233-SUM(L$236:L242))</f>
        <v>0</v>
      </c>
      <c r="M243" s="283"/>
      <c r="N243" s="405">
        <f t="shared" si="67"/>
        <v>0</v>
      </c>
      <c r="O243" s="95">
        <f t="shared" si="67"/>
        <v>0</v>
      </c>
      <c r="P243" s="95">
        <f t="shared" si="67"/>
        <v>0</v>
      </c>
      <c r="Q243" s="95">
        <f t="shared" si="67"/>
        <v>0</v>
      </c>
      <c r="R243" s="95">
        <f t="shared" si="67"/>
        <v>0</v>
      </c>
      <c r="S243" s="95">
        <f t="shared" si="67"/>
        <v>0</v>
      </c>
      <c r="T243" s="95">
        <f t="shared" si="67"/>
        <v>0</v>
      </c>
      <c r="U243" s="95">
        <f t="shared" si="67"/>
        <v>0</v>
      </c>
      <c r="V243" s="95">
        <f t="shared" si="67"/>
        <v>0</v>
      </c>
      <c r="W243" s="95">
        <f t="shared" si="67"/>
        <v>0</v>
      </c>
      <c r="X243" s="283"/>
    </row>
    <row r="244" spans="1:24" s="8" customFormat="1" outlineLevel="2">
      <c r="A244" s="416">
        <f>D$59</f>
        <v>9999</v>
      </c>
      <c r="B244" s="416">
        <f>B$59</f>
        <v>0.1</v>
      </c>
      <c r="C244" s="411">
        <f>IF(C$233&gt;$A244,$A244-$A243,C$233-SUM(C$236:C243))</f>
        <v>0</v>
      </c>
      <c r="D244" s="416">
        <f>IF(D$233&gt;$A244,$A244-$A243,D$233-SUM(D$236:D243))</f>
        <v>0</v>
      </c>
      <c r="E244" s="416">
        <f>IF(E$233&gt;$A244,$A244-$A243,E$233-SUM(E$236:E243))</f>
        <v>0</v>
      </c>
      <c r="F244" s="416">
        <f>IF(F$233&gt;$A244,$A244-$A243,F$233-SUM(F$236:F243))</f>
        <v>0</v>
      </c>
      <c r="G244" s="416">
        <f>IF(G$233&gt;$A244,$A244-$A243,G$233-SUM(G$236:G243))</f>
        <v>0</v>
      </c>
      <c r="H244" s="416">
        <f>IF(H$233&gt;$A244,$A244-$A243,H$233-SUM(H$236:H243))</f>
        <v>0</v>
      </c>
      <c r="I244" s="416">
        <f>IF(I$233&gt;$A244,$A244-$A243,I$233-SUM(I$236:I243))</f>
        <v>0</v>
      </c>
      <c r="J244" s="416">
        <f>IF(J$233&gt;$A244,$A244-$A243,J$233-SUM(J$236:J243))</f>
        <v>0</v>
      </c>
      <c r="K244" s="416">
        <f>IF(K$233&gt;$A244,$A244-$A243,K$233-SUM(K$236:K243))</f>
        <v>0</v>
      </c>
      <c r="L244" s="416">
        <f>IF(L$233&gt;$A244,$A244-$A243,L$233-SUM(L$236:L243))</f>
        <v>0</v>
      </c>
      <c r="M244" s="283"/>
      <c r="N244" s="405">
        <f t="shared" si="67"/>
        <v>0</v>
      </c>
      <c r="O244" s="95">
        <f t="shared" si="67"/>
        <v>0</v>
      </c>
      <c r="P244" s="95">
        <f t="shared" si="67"/>
        <v>0</v>
      </c>
      <c r="Q244" s="95">
        <f t="shared" si="67"/>
        <v>0</v>
      </c>
      <c r="R244" s="95">
        <f t="shared" si="67"/>
        <v>0</v>
      </c>
      <c r="S244" s="95">
        <f t="shared" si="67"/>
        <v>0</v>
      </c>
      <c r="T244" s="95">
        <f t="shared" si="67"/>
        <v>0</v>
      </c>
      <c r="U244" s="95">
        <f t="shared" si="67"/>
        <v>0</v>
      </c>
      <c r="V244" s="95">
        <f t="shared" si="67"/>
        <v>0</v>
      </c>
      <c r="W244" s="95">
        <f t="shared" si="67"/>
        <v>0</v>
      </c>
      <c r="X244" s="283"/>
    </row>
    <row r="245" spans="1:24" s="8" customFormat="1" outlineLevel="1">
      <c r="A245" s="404"/>
      <c r="B245" s="417" t="str">
        <f>CONCATENATE(B232," Total")</f>
        <v>Asus Total</v>
      </c>
      <c r="C245" s="418">
        <f>SUM(C236:C244)</f>
        <v>0</v>
      </c>
      <c r="D245" s="419">
        <f t="shared" ref="D245:L245" si="68">SUM(D236:D244)</f>
        <v>0</v>
      </c>
      <c r="E245" s="419">
        <f t="shared" si="68"/>
        <v>0</v>
      </c>
      <c r="F245" s="419">
        <f t="shared" si="68"/>
        <v>8.6439999999999989E-3</v>
      </c>
      <c r="G245" s="419">
        <f t="shared" si="68"/>
        <v>1.730226</v>
      </c>
      <c r="H245" s="419">
        <f t="shared" si="68"/>
        <v>6.843062999999999</v>
      </c>
      <c r="I245" s="419">
        <f t="shared" si="68"/>
        <v>12.209292000000001</v>
      </c>
      <c r="J245" s="419">
        <f t="shared" si="68"/>
        <v>11.795386000000001</v>
      </c>
      <c r="K245" s="419">
        <f t="shared" si="68"/>
        <v>7.0838107568351711</v>
      </c>
      <c r="L245" s="419">
        <f t="shared" si="68"/>
        <v>3.8571079999999998</v>
      </c>
      <c r="M245" s="283"/>
      <c r="N245" s="420">
        <f>SUM(N236:N244)</f>
        <v>0</v>
      </c>
      <c r="O245" s="420">
        <f t="shared" ref="O245:W245" si="69">SUM(O236:O244)</f>
        <v>0</v>
      </c>
      <c r="P245" s="420">
        <f t="shared" si="69"/>
        <v>0</v>
      </c>
      <c r="Q245" s="420">
        <f t="shared" si="69"/>
        <v>8.4711199999999987E-3</v>
      </c>
      <c r="R245" s="420">
        <f t="shared" si="69"/>
        <v>1.37655368</v>
      </c>
      <c r="S245" s="420">
        <f t="shared" si="69"/>
        <v>3.6840864599999996</v>
      </c>
      <c r="T245" s="420">
        <f t="shared" si="69"/>
        <v>5.4960442399999998</v>
      </c>
      <c r="U245" s="420">
        <f t="shared" si="69"/>
        <v>5.4049849199999995</v>
      </c>
      <c r="V245" s="420">
        <f t="shared" si="69"/>
        <v>3.7852005178707717</v>
      </c>
      <c r="W245" s="420">
        <f t="shared" si="69"/>
        <v>2.3956986000000002</v>
      </c>
      <c r="X245" s="283"/>
    </row>
    <row r="246" spans="1:24" s="8" customFormat="1" outlineLevel="1">
      <c r="B246" s="421" t="s">
        <v>778</v>
      </c>
      <c r="C246" s="422">
        <f t="shared" ref="C246:L246" si="70">C245-C233</f>
        <v>0</v>
      </c>
      <c r="D246" s="423">
        <f t="shared" si="70"/>
        <v>0</v>
      </c>
      <c r="E246" s="423">
        <f t="shared" si="70"/>
        <v>0</v>
      </c>
      <c r="F246" s="423">
        <f t="shared" si="70"/>
        <v>0</v>
      </c>
      <c r="G246" s="423">
        <f t="shared" si="70"/>
        <v>0</v>
      </c>
      <c r="H246" s="423">
        <f t="shared" si="70"/>
        <v>0</v>
      </c>
      <c r="I246" s="423">
        <f t="shared" si="70"/>
        <v>0</v>
      </c>
      <c r="J246" s="423">
        <f t="shared" si="70"/>
        <v>0</v>
      </c>
      <c r="K246" s="423">
        <f t="shared" si="70"/>
        <v>0</v>
      </c>
      <c r="L246" s="423">
        <f t="shared" si="70"/>
        <v>0</v>
      </c>
      <c r="M246" s="283"/>
      <c r="N246" s="283"/>
      <c r="O246" s="283"/>
      <c r="P246" s="283"/>
      <c r="Q246" s="283"/>
      <c r="R246" s="283"/>
      <c r="S246" s="283"/>
      <c r="T246" s="283"/>
      <c r="U246" s="283"/>
      <c r="V246" s="283"/>
      <c r="W246" s="283"/>
      <c r="X246" s="283"/>
    </row>
    <row r="247" spans="1:24" s="8" customFormat="1" outlineLevel="1">
      <c r="C247" s="283"/>
      <c r="M247" s="283"/>
      <c r="X247" s="283"/>
    </row>
    <row r="248" spans="1:24" s="8" customFormat="1" outlineLevel="1" collapsed="1">
      <c r="A248" s="8">
        <f>A232+1</f>
        <v>5</v>
      </c>
      <c r="B248" s="424" t="str">
        <f>A144</f>
        <v>BenQ</v>
      </c>
      <c r="C248" s="80">
        <v>2007</v>
      </c>
      <c r="D248" s="66">
        <f>C248+1</f>
        <v>2008</v>
      </c>
      <c r="E248" s="66">
        <f t="shared" ref="E248:L248" si="71">D248+1</f>
        <v>2009</v>
      </c>
      <c r="F248" s="66">
        <f t="shared" si="71"/>
        <v>2010</v>
      </c>
      <c r="G248" s="66">
        <f t="shared" si="71"/>
        <v>2011</v>
      </c>
      <c r="H248" s="66">
        <f t="shared" si="71"/>
        <v>2012</v>
      </c>
      <c r="I248" s="66">
        <f t="shared" si="71"/>
        <v>2013</v>
      </c>
      <c r="J248" s="66">
        <f t="shared" si="71"/>
        <v>2014</v>
      </c>
      <c r="K248" s="66">
        <f t="shared" si="71"/>
        <v>2015</v>
      </c>
      <c r="L248" s="66">
        <f t="shared" si="71"/>
        <v>2016</v>
      </c>
      <c r="M248" s="283"/>
      <c r="N248" s="168">
        <f t="shared" ref="N248:W248" si="72">C248</f>
        <v>2007</v>
      </c>
      <c r="O248" s="66">
        <f t="shared" si="72"/>
        <v>2008</v>
      </c>
      <c r="P248" s="66">
        <f t="shared" si="72"/>
        <v>2009</v>
      </c>
      <c r="Q248" s="66">
        <f t="shared" si="72"/>
        <v>2010</v>
      </c>
      <c r="R248" s="66">
        <f t="shared" si="72"/>
        <v>2011</v>
      </c>
      <c r="S248" s="66">
        <f t="shared" si="72"/>
        <v>2012</v>
      </c>
      <c r="T248" s="66">
        <f t="shared" si="72"/>
        <v>2013</v>
      </c>
      <c r="U248" s="66">
        <f t="shared" si="72"/>
        <v>2014</v>
      </c>
      <c r="V248" s="66">
        <f t="shared" si="72"/>
        <v>2015</v>
      </c>
      <c r="W248" s="66">
        <f t="shared" si="72"/>
        <v>2016</v>
      </c>
      <c r="X248" s="283"/>
    </row>
    <row r="249" spans="1:24" s="8" customFormat="1" outlineLevel="2">
      <c r="B249" s="8" t="s">
        <v>1348</v>
      </c>
      <c r="C249" s="411">
        <f t="shared" ref="C249:L249" si="73">VLOOKUP($B248,$A$140:$K$175,C$183+1,FALSE)</f>
        <v>1.2000000000000002</v>
      </c>
      <c r="D249" s="412">
        <f t="shared" si="73"/>
        <v>0.89999999999999991</v>
      </c>
      <c r="E249" s="412">
        <f t="shared" si="73"/>
        <v>0</v>
      </c>
      <c r="F249" s="412">
        <f t="shared" si="73"/>
        <v>0</v>
      </c>
      <c r="G249" s="412">
        <f t="shared" si="73"/>
        <v>0</v>
      </c>
      <c r="H249" s="412">
        <f t="shared" si="73"/>
        <v>0</v>
      </c>
      <c r="I249" s="412">
        <f t="shared" si="73"/>
        <v>0</v>
      </c>
      <c r="J249" s="412">
        <f t="shared" si="73"/>
        <v>0</v>
      </c>
      <c r="K249" s="412">
        <f t="shared" si="73"/>
        <v>0</v>
      </c>
      <c r="L249" s="412">
        <f t="shared" si="73"/>
        <v>0</v>
      </c>
      <c r="M249" s="283"/>
      <c r="N249" s="283"/>
      <c r="X249" s="283"/>
    </row>
    <row r="250" spans="1:24" s="8" customFormat="1" outlineLevel="2">
      <c r="C250" s="413"/>
      <c r="D250" s="414"/>
      <c r="E250" s="414"/>
      <c r="F250" s="414"/>
      <c r="G250" s="414"/>
      <c r="H250" s="414"/>
      <c r="I250" s="414"/>
      <c r="J250" s="414"/>
      <c r="K250" s="414"/>
      <c r="L250" s="414"/>
      <c r="M250" s="283"/>
      <c r="N250" s="283"/>
      <c r="X250" s="283"/>
    </row>
    <row r="251" spans="1:24" s="8" customFormat="1" outlineLevel="2">
      <c r="A251" s="66" t="s">
        <v>1349</v>
      </c>
      <c r="B251" s="66" t="s">
        <v>1350</v>
      </c>
      <c r="C251" s="415"/>
      <c r="F251" s="9"/>
      <c r="M251" s="283"/>
      <c r="N251" s="283"/>
      <c r="X251" s="283"/>
    </row>
    <row r="252" spans="1:24" s="8" customFormat="1" outlineLevel="2">
      <c r="A252" s="416">
        <f>D$51</f>
        <v>0.5</v>
      </c>
      <c r="B252" s="416">
        <f>B$51</f>
        <v>0.98</v>
      </c>
      <c r="C252" s="411">
        <f>IF(C$249&gt;$A252,$A252,C$249)</f>
        <v>0.5</v>
      </c>
      <c r="D252" s="416">
        <f t="shared" ref="D252:L252" si="74">IF(D$249&gt;$A252,$A252,D$249)</f>
        <v>0.5</v>
      </c>
      <c r="E252" s="416">
        <f t="shared" si="74"/>
        <v>0</v>
      </c>
      <c r="F252" s="416">
        <f t="shared" si="74"/>
        <v>0</v>
      </c>
      <c r="G252" s="416">
        <f t="shared" si="74"/>
        <v>0</v>
      </c>
      <c r="H252" s="416">
        <f t="shared" si="74"/>
        <v>0</v>
      </c>
      <c r="I252" s="416">
        <f t="shared" si="74"/>
        <v>0</v>
      </c>
      <c r="J252" s="416">
        <f t="shared" si="74"/>
        <v>0</v>
      </c>
      <c r="K252" s="416">
        <f t="shared" si="74"/>
        <v>0</v>
      </c>
      <c r="L252" s="416">
        <f t="shared" si="74"/>
        <v>0</v>
      </c>
      <c r="M252" s="283"/>
      <c r="N252" s="405">
        <f t="shared" ref="N252:W260" si="75">C252*$B252</f>
        <v>0.49</v>
      </c>
      <c r="O252" s="95">
        <f t="shared" si="75"/>
        <v>0.49</v>
      </c>
      <c r="P252" s="95">
        <f t="shared" si="75"/>
        <v>0</v>
      </c>
      <c r="Q252" s="95">
        <f t="shared" si="75"/>
        <v>0</v>
      </c>
      <c r="R252" s="95">
        <f t="shared" si="75"/>
        <v>0</v>
      </c>
      <c r="S252" s="95">
        <f t="shared" si="75"/>
        <v>0</v>
      </c>
      <c r="T252" s="95">
        <f t="shared" si="75"/>
        <v>0</v>
      </c>
      <c r="U252" s="95">
        <f t="shared" si="75"/>
        <v>0</v>
      </c>
      <c r="V252" s="95">
        <f t="shared" si="75"/>
        <v>0</v>
      </c>
      <c r="W252" s="95">
        <f t="shared" si="75"/>
        <v>0</v>
      </c>
      <c r="X252" s="283"/>
    </row>
    <row r="253" spans="1:24" s="8" customFormat="1" outlineLevel="2">
      <c r="A253" s="416">
        <f>D$52</f>
        <v>1</v>
      </c>
      <c r="B253" s="416">
        <f>B$52</f>
        <v>0.78</v>
      </c>
      <c r="C253" s="411">
        <f>IF(C$249&gt;$A253,$A253-$A252,C$249-SUM(C252:C$252))</f>
        <v>0.5</v>
      </c>
      <c r="D253" s="416">
        <f>IF(D$249&gt;$A253,$A253-$A252,D$249-SUM(D252:D$252))</f>
        <v>0.39999999999999991</v>
      </c>
      <c r="E253" s="416">
        <f>IF(E$249&gt;$A253,$A253-$A252,E$249-SUM(E252:E$252))</f>
        <v>0</v>
      </c>
      <c r="F253" s="416">
        <f>IF(F$249&gt;$A253,$A253-$A252,F$249-SUM(F252:F$252))</f>
        <v>0</v>
      </c>
      <c r="G253" s="416">
        <f>IF(G$249&gt;$A253,$A253-$A252,G$249-SUM(G252:G$252))</f>
        <v>0</v>
      </c>
      <c r="H253" s="416">
        <f>IF(H$249&gt;$A253,$A253-$A252,H$249-SUM(H252:H$252))</f>
        <v>0</v>
      </c>
      <c r="I253" s="416">
        <f>IF(I$249&gt;$A253,$A253-$A252,I$249-SUM(I252:I$252))</f>
        <v>0</v>
      </c>
      <c r="J253" s="416">
        <f>IF(J$249&gt;$A253,$A253-$A252,J$249-SUM(J252:J$252))</f>
        <v>0</v>
      </c>
      <c r="K253" s="416">
        <f>IF(K$249&gt;$A253,$A253-$A252,K$249-SUM(K252:K$252))</f>
        <v>0</v>
      </c>
      <c r="L253" s="416">
        <f>IF(L$249&gt;$A253,$A253-$A252,L$249-SUM(L252:L$252))</f>
        <v>0</v>
      </c>
      <c r="M253" s="283"/>
      <c r="N253" s="405">
        <f t="shared" si="75"/>
        <v>0.39</v>
      </c>
      <c r="O253" s="95">
        <f t="shared" si="75"/>
        <v>0.31199999999999994</v>
      </c>
      <c r="P253" s="95">
        <f t="shared" si="75"/>
        <v>0</v>
      </c>
      <c r="Q253" s="95">
        <f t="shared" si="75"/>
        <v>0</v>
      </c>
      <c r="R253" s="95">
        <f t="shared" si="75"/>
        <v>0</v>
      </c>
      <c r="S253" s="95">
        <f t="shared" si="75"/>
        <v>0</v>
      </c>
      <c r="T253" s="95">
        <f t="shared" si="75"/>
        <v>0</v>
      </c>
      <c r="U253" s="95">
        <f t="shared" si="75"/>
        <v>0</v>
      </c>
      <c r="V253" s="95">
        <f t="shared" si="75"/>
        <v>0</v>
      </c>
      <c r="W253" s="95">
        <f t="shared" si="75"/>
        <v>0</v>
      </c>
      <c r="X253" s="283"/>
    </row>
    <row r="254" spans="1:24" s="8" customFormat="1" outlineLevel="2">
      <c r="A254" s="416">
        <f>D$53</f>
        <v>2</v>
      </c>
      <c r="B254" s="416">
        <f>B$53</f>
        <v>0.68</v>
      </c>
      <c r="C254" s="411">
        <f>IF(C$249&gt;$A254,$A254-$A253,C$249-SUM(C$252:C253))</f>
        <v>0.20000000000000018</v>
      </c>
      <c r="D254" s="416">
        <f>IF(D$249&gt;$A254,$A254-$A253,D$249-SUM(D$252:D253))</f>
        <v>0</v>
      </c>
      <c r="E254" s="416">
        <f>IF(E$249&gt;$A254,$A254-$A253,E$249-SUM(E$252:E253))</f>
        <v>0</v>
      </c>
      <c r="F254" s="416">
        <f>IF(F$249&gt;$A254,$A254-$A253,F$249-SUM(F$252:F253))</f>
        <v>0</v>
      </c>
      <c r="G254" s="416">
        <f>IF(G$249&gt;$A254,$A254-$A253,G$249-SUM(G$252:G253))</f>
        <v>0</v>
      </c>
      <c r="H254" s="416">
        <f>IF(H$249&gt;$A254,$A254-$A253,H$249-SUM(H$252:H253))</f>
        <v>0</v>
      </c>
      <c r="I254" s="416">
        <f>IF(I$249&gt;$A254,$A254-$A253,I$249-SUM(I$252:I253))</f>
        <v>0</v>
      </c>
      <c r="J254" s="416">
        <f>IF(J$249&gt;$A254,$A254-$A253,J$249-SUM(J$252:J253))</f>
        <v>0</v>
      </c>
      <c r="K254" s="416">
        <f>IF(K$249&gt;$A254,$A254-$A253,K$249-SUM(K$252:K253))</f>
        <v>0</v>
      </c>
      <c r="L254" s="416">
        <f>IF(L$249&gt;$A254,$A254-$A253,L$249-SUM(L$252:L253))</f>
        <v>0</v>
      </c>
      <c r="M254" s="283"/>
      <c r="N254" s="405">
        <f t="shared" si="75"/>
        <v>0.13600000000000012</v>
      </c>
      <c r="O254" s="95">
        <f t="shared" si="75"/>
        <v>0</v>
      </c>
      <c r="P254" s="95">
        <f t="shared" si="75"/>
        <v>0</v>
      </c>
      <c r="Q254" s="95">
        <f t="shared" si="75"/>
        <v>0</v>
      </c>
      <c r="R254" s="95">
        <f t="shared" si="75"/>
        <v>0</v>
      </c>
      <c r="S254" s="95">
        <f t="shared" si="75"/>
        <v>0</v>
      </c>
      <c r="T254" s="95">
        <f t="shared" si="75"/>
        <v>0</v>
      </c>
      <c r="U254" s="95">
        <f t="shared" si="75"/>
        <v>0</v>
      </c>
      <c r="V254" s="95">
        <f t="shared" si="75"/>
        <v>0</v>
      </c>
      <c r="W254" s="95">
        <f t="shared" si="75"/>
        <v>0</v>
      </c>
      <c r="X254" s="283"/>
    </row>
    <row r="255" spans="1:24" s="8" customFormat="1" outlineLevel="2">
      <c r="A255" s="416">
        <f>D$54</f>
        <v>5</v>
      </c>
      <c r="B255" s="416">
        <f>B$54</f>
        <v>0.45</v>
      </c>
      <c r="C255" s="411">
        <f>IF(C$249&gt;$A255,$A255-$A254,C$249-SUM(C$252:C254))</f>
        <v>0</v>
      </c>
      <c r="D255" s="416">
        <f>IF(D$249&gt;$A255,$A255-$A254,D$249-SUM(D$252:D254))</f>
        <v>0</v>
      </c>
      <c r="E255" s="416">
        <f>IF(E$249&gt;$A255,$A255-$A254,E$249-SUM(E$252:E254))</f>
        <v>0</v>
      </c>
      <c r="F255" s="416">
        <f>IF(F$249&gt;$A255,$A255-$A254,F$249-SUM(F$252:F254))</f>
        <v>0</v>
      </c>
      <c r="G255" s="416">
        <f>IF(G$249&gt;$A255,$A255-$A254,G$249-SUM(G$252:G254))</f>
        <v>0</v>
      </c>
      <c r="H255" s="416">
        <f>IF(H$249&gt;$A255,$A255-$A254,H$249-SUM(H$252:H254))</f>
        <v>0</v>
      </c>
      <c r="I255" s="416">
        <f>IF(I$249&gt;$A255,$A255-$A254,I$249-SUM(I$252:I254))</f>
        <v>0</v>
      </c>
      <c r="J255" s="416">
        <f>IF(J$249&gt;$A255,$A255-$A254,J$249-SUM(J$252:J254))</f>
        <v>0</v>
      </c>
      <c r="K255" s="416">
        <f>IF(K$249&gt;$A255,$A255-$A254,K$249-SUM(K$252:K254))</f>
        <v>0</v>
      </c>
      <c r="L255" s="416">
        <f>IF(L$249&gt;$A255,$A255-$A254,L$249-SUM(L$252:L254))</f>
        <v>0</v>
      </c>
      <c r="M255" s="283"/>
      <c r="N255" s="405">
        <f t="shared" si="75"/>
        <v>0</v>
      </c>
      <c r="O255" s="95">
        <f t="shared" si="75"/>
        <v>0</v>
      </c>
      <c r="P255" s="95">
        <f t="shared" si="75"/>
        <v>0</v>
      </c>
      <c r="Q255" s="95">
        <f t="shared" si="75"/>
        <v>0</v>
      </c>
      <c r="R255" s="95">
        <f t="shared" si="75"/>
        <v>0</v>
      </c>
      <c r="S255" s="95">
        <f t="shared" si="75"/>
        <v>0</v>
      </c>
      <c r="T255" s="95">
        <f t="shared" si="75"/>
        <v>0</v>
      </c>
      <c r="U255" s="95">
        <f t="shared" si="75"/>
        <v>0</v>
      </c>
      <c r="V255" s="95">
        <f t="shared" si="75"/>
        <v>0</v>
      </c>
      <c r="W255" s="95">
        <f t="shared" si="75"/>
        <v>0</v>
      </c>
      <c r="X255" s="283"/>
    </row>
    <row r="256" spans="1:24" s="8" customFormat="1" outlineLevel="2">
      <c r="A256" s="416">
        <f>D$55</f>
        <v>10</v>
      </c>
      <c r="B256" s="416">
        <f>B$55</f>
        <v>0.42</v>
      </c>
      <c r="C256" s="411">
        <f>IF(C$249&gt;$A256,$A256-$A255,C$249-SUM(C$252:C255))</f>
        <v>0</v>
      </c>
      <c r="D256" s="416">
        <f>IF(D$249&gt;$A256,$A256-$A255,D$249-SUM(D$252:D255))</f>
        <v>0</v>
      </c>
      <c r="E256" s="416">
        <f>IF(E$249&gt;$A256,$A256-$A255,E$249-SUM(E$252:E255))</f>
        <v>0</v>
      </c>
      <c r="F256" s="416">
        <f>IF(F$249&gt;$A256,$A256-$A255,F$249-SUM(F$252:F255))</f>
        <v>0</v>
      </c>
      <c r="G256" s="416">
        <f>IF(G$249&gt;$A256,$A256-$A255,G$249-SUM(G$252:G255))</f>
        <v>0</v>
      </c>
      <c r="H256" s="416">
        <f>IF(H$249&gt;$A256,$A256-$A255,H$249-SUM(H$252:H255))</f>
        <v>0</v>
      </c>
      <c r="I256" s="416">
        <f>IF(I$249&gt;$A256,$A256-$A255,I$249-SUM(I$252:I255))</f>
        <v>0</v>
      </c>
      <c r="J256" s="416">
        <f>IF(J$249&gt;$A256,$A256-$A255,J$249-SUM(J$252:J255))</f>
        <v>0</v>
      </c>
      <c r="K256" s="416">
        <f>IF(K$249&gt;$A256,$A256-$A255,K$249-SUM(K$252:K255))</f>
        <v>0</v>
      </c>
      <c r="L256" s="416">
        <f>IF(L$249&gt;$A256,$A256-$A255,L$249-SUM(L$252:L255))</f>
        <v>0</v>
      </c>
      <c r="M256" s="283"/>
      <c r="N256" s="405">
        <f t="shared" si="75"/>
        <v>0</v>
      </c>
      <c r="O256" s="95">
        <f t="shared" si="75"/>
        <v>0</v>
      </c>
      <c r="P256" s="95">
        <f t="shared" si="75"/>
        <v>0</v>
      </c>
      <c r="Q256" s="95">
        <f t="shared" si="75"/>
        <v>0</v>
      </c>
      <c r="R256" s="95">
        <f t="shared" si="75"/>
        <v>0</v>
      </c>
      <c r="S256" s="95">
        <f t="shared" si="75"/>
        <v>0</v>
      </c>
      <c r="T256" s="95">
        <f t="shared" si="75"/>
        <v>0</v>
      </c>
      <c r="U256" s="95">
        <f t="shared" si="75"/>
        <v>0</v>
      </c>
      <c r="V256" s="95">
        <f t="shared" si="75"/>
        <v>0</v>
      </c>
      <c r="W256" s="95">
        <f t="shared" si="75"/>
        <v>0</v>
      </c>
      <c r="X256" s="283"/>
    </row>
    <row r="257" spans="1:24" s="8" customFormat="1" outlineLevel="2">
      <c r="A257" s="416">
        <f>D$56</f>
        <v>20</v>
      </c>
      <c r="B257" s="416">
        <f>B$56</f>
        <v>0.22</v>
      </c>
      <c r="C257" s="411">
        <f>IF(C$249&gt;$A257,$A257-$A256,C$249-SUM(C$252:C256))</f>
        <v>0</v>
      </c>
      <c r="D257" s="416">
        <f>IF(D$249&gt;$A257,$A257-$A256,D$249-SUM(D$252:D256))</f>
        <v>0</v>
      </c>
      <c r="E257" s="416">
        <f>IF(E$249&gt;$A257,$A257-$A256,E$249-SUM(E$252:E256))</f>
        <v>0</v>
      </c>
      <c r="F257" s="416">
        <f>IF(F$249&gt;$A257,$A257-$A256,F$249-SUM(F$252:F256))</f>
        <v>0</v>
      </c>
      <c r="G257" s="416">
        <f>IF(G$249&gt;$A257,$A257-$A256,G$249-SUM(G$252:G256))</f>
        <v>0</v>
      </c>
      <c r="H257" s="416">
        <f>IF(H$249&gt;$A257,$A257-$A256,H$249-SUM(H$252:H256))</f>
        <v>0</v>
      </c>
      <c r="I257" s="416">
        <f>IF(I$249&gt;$A257,$A257-$A256,I$249-SUM(I$252:I256))</f>
        <v>0</v>
      </c>
      <c r="J257" s="416">
        <f>IF(J$249&gt;$A257,$A257-$A256,J$249-SUM(J$252:J256))</f>
        <v>0</v>
      </c>
      <c r="K257" s="416">
        <f>IF(K$249&gt;$A257,$A257-$A256,K$249-SUM(K$252:K256))</f>
        <v>0</v>
      </c>
      <c r="L257" s="416">
        <f>IF(L$249&gt;$A257,$A257-$A256,L$249-SUM(L$252:L256))</f>
        <v>0</v>
      </c>
      <c r="M257" s="283"/>
      <c r="N257" s="405">
        <f t="shared" si="75"/>
        <v>0</v>
      </c>
      <c r="O257" s="95">
        <f t="shared" si="75"/>
        <v>0</v>
      </c>
      <c r="P257" s="95">
        <f t="shared" si="75"/>
        <v>0</v>
      </c>
      <c r="Q257" s="95">
        <f t="shared" si="75"/>
        <v>0</v>
      </c>
      <c r="R257" s="95">
        <f t="shared" si="75"/>
        <v>0</v>
      </c>
      <c r="S257" s="95">
        <f t="shared" si="75"/>
        <v>0</v>
      </c>
      <c r="T257" s="95">
        <f t="shared" si="75"/>
        <v>0</v>
      </c>
      <c r="U257" s="95">
        <f t="shared" si="75"/>
        <v>0</v>
      </c>
      <c r="V257" s="95">
        <f t="shared" si="75"/>
        <v>0</v>
      </c>
      <c r="W257" s="95">
        <f t="shared" si="75"/>
        <v>0</v>
      </c>
      <c r="X257" s="283"/>
    </row>
    <row r="258" spans="1:24" s="8" customFormat="1" outlineLevel="2">
      <c r="A258" s="416">
        <f>D$57</f>
        <v>50</v>
      </c>
      <c r="B258" s="416">
        <f>B$57</f>
        <v>0.2</v>
      </c>
      <c r="C258" s="411">
        <f>IF(C$249&gt;$A258,$A258-$A257,C$249-SUM(C$252:C257))</f>
        <v>0</v>
      </c>
      <c r="D258" s="416">
        <f>IF(D$249&gt;$A258,$A258-$A257,D$249-SUM(D$252:D257))</f>
        <v>0</v>
      </c>
      <c r="E258" s="416">
        <f>IF(E$249&gt;$A258,$A258-$A257,E$249-SUM(E$252:E257))</f>
        <v>0</v>
      </c>
      <c r="F258" s="416">
        <f>IF(F$249&gt;$A258,$A258-$A257,F$249-SUM(F$252:F257))</f>
        <v>0</v>
      </c>
      <c r="G258" s="416">
        <f>IF(G$249&gt;$A258,$A258-$A257,G$249-SUM(G$252:G257))</f>
        <v>0</v>
      </c>
      <c r="H258" s="416">
        <f>IF(H$249&gt;$A258,$A258-$A257,H$249-SUM(H$252:H257))</f>
        <v>0</v>
      </c>
      <c r="I258" s="416">
        <f>IF(I$249&gt;$A258,$A258-$A257,I$249-SUM(I$252:I257))</f>
        <v>0</v>
      </c>
      <c r="J258" s="416">
        <f>IF(J$249&gt;$A258,$A258-$A257,J$249-SUM(J$252:J257))</f>
        <v>0</v>
      </c>
      <c r="K258" s="416">
        <f>IF(K$249&gt;$A258,$A258-$A257,K$249-SUM(K$252:K257))</f>
        <v>0</v>
      </c>
      <c r="L258" s="416">
        <f>IF(L$249&gt;$A258,$A258-$A257,L$249-SUM(L$252:L257))</f>
        <v>0</v>
      </c>
      <c r="M258" s="283"/>
      <c r="N258" s="405">
        <f t="shared" si="75"/>
        <v>0</v>
      </c>
      <c r="O258" s="95">
        <f t="shared" si="75"/>
        <v>0</v>
      </c>
      <c r="P258" s="95">
        <f t="shared" si="75"/>
        <v>0</v>
      </c>
      <c r="Q258" s="95">
        <f t="shared" si="75"/>
        <v>0</v>
      </c>
      <c r="R258" s="95">
        <f t="shared" si="75"/>
        <v>0</v>
      </c>
      <c r="S258" s="95">
        <f t="shared" si="75"/>
        <v>0</v>
      </c>
      <c r="T258" s="95">
        <f t="shared" si="75"/>
        <v>0</v>
      </c>
      <c r="U258" s="95">
        <f t="shared" si="75"/>
        <v>0</v>
      </c>
      <c r="V258" s="95">
        <f t="shared" si="75"/>
        <v>0</v>
      </c>
      <c r="W258" s="95">
        <f t="shared" si="75"/>
        <v>0</v>
      </c>
      <c r="X258" s="283"/>
    </row>
    <row r="259" spans="1:24" s="8" customFormat="1" outlineLevel="2">
      <c r="A259" s="416">
        <f>D$58</f>
        <v>75</v>
      </c>
      <c r="B259" s="416">
        <f>B$58</f>
        <v>0.15</v>
      </c>
      <c r="C259" s="411">
        <f>IF(C$249&gt;$A259,$A259-$A258,C$249-SUM(C$252:C258))</f>
        <v>0</v>
      </c>
      <c r="D259" s="416">
        <f>IF(D$249&gt;$A259,$A259-$A258,D$249-SUM(D$252:D258))</f>
        <v>0</v>
      </c>
      <c r="E259" s="416">
        <f>IF(E$249&gt;$A259,$A259-$A258,E$249-SUM(E$252:E258))</f>
        <v>0</v>
      </c>
      <c r="F259" s="416">
        <f>IF(F$249&gt;$A259,$A259-$A258,F$249-SUM(F$252:F258))</f>
        <v>0</v>
      </c>
      <c r="G259" s="416">
        <f>IF(G$249&gt;$A259,$A259-$A258,G$249-SUM(G$252:G258))</f>
        <v>0</v>
      </c>
      <c r="H259" s="416">
        <f>IF(H$249&gt;$A259,$A259-$A258,H$249-SUM(H$252:H258))</f>
        <v>0</v>
      </c>
      <c r="I259" s="416">
        <f>IF(I$249&gt;$A259,$A259-$A258,I$249-SUM(I$252:I258))</f>
        <v>0</v>
      </c>
      <c r="J259" s="416">
        <f>IF(J$249&gt;$A259,$A259-$A258,J$249-SUM(J$252:J258))</f>
        <v>0</v>
      </c>
      <c r="K259" s="416">
        <f>IF(K$249&gt;$A259,$A259-$A258,K$249-SUM(K$252:K258))</f>
        <v>0</v>
      </c>
      <c r="L259" s="416">
        <f>IF(L$249&gt;$A259,$A259-$A258,L$249-SUM(L$252:L258))</f>
        <v>0</v>
      </c>
      <c r="M259" s="283"/>
      <c r="N259" s="405">
        <f t="shared" si="75"/>
        <v>0</v>
      </c>
      <c r="O259" s="95">
        <f t="shared" si="75"/>
        <v>0</v>
      </c>
      <c r="P259" s="95">
        <f t="shared" si="75"/>
        <v>0</v>
      </c>
      <c r="Q259" s="95">
        <f t="shared" si="75"/>
        <v>0</v>
      </c>
      <c r="R259" s="95">
        <f t="shared" si="75"/>
        <v>0</v>
      </c>
      <c r="S259" s="95">
        <f t="shared" si="75"/>
        <v>0</v>
      </c>
      <c r="T259" s="95">
        <f t="shared" si="75"/>
        <v>0</v>
      </c>
      <c r="U259" s="95">
        <f t="shared" si="75"/>
        <v>0</v>
      </c>
      <c r="V259" s="95">
        <f t="shared" si="75"/>
        <v>0</v>
      </c>
      <c r="W259" s="95">
        <f t="shared" si="75"/>
        <v>0</v>
      </c>
      <c r="X259" s="283"/>
    </row>
    <row r="260" spans="1:24" s="8" customFormat="1" outlineLevel="2">
      <c r="A260" s="416">
        <f>D$59</f>
        <v>9999</v>
      </c>
      <c r="B260" s="416">
        <f>B$59</f>
        <v>0.1</v>
      </c>
      <c r="C260" s="411">
        <f>IF(C$249&gt;$A260,$A260-$A259,C$249-SUM(C$252:C259))</f>
        <v>0</v>
      </c>
      <c r="D260" s="416">
        <f>IF(D$249&gt;$A260,$A260-$A259,D$249-SUM(D$252:D259))</f>
        <v>0</v>
      </c>
      <c r="E260" s="416">
        <f>IF(E$249&gt;$A260,$A260-$A259,E$249-SUM(E$252:E259))</f>
        <v>0</v>
      </c>
      <c r="F260" s="416">
        <f>IF(F$249&gt;$A260,$A260-$A259,F$249-SUM(F$252:F259))</f>
        <v>0</v>
      </c>
      <c r="G260" s="416">
        <f>IF(G$249&gt;$A260,$A260-$A259,G$249-SUM(G$252:G259))</f>
        <v>0</v>
      </c>
      <c r="H260" s="416">
        <f>IF(H$249&gt;$A260,$A260-$A259,H$249-SUM(H$252:H259))</f>
        <v>0</v>
      </c>
      <c r="I260" s="416">
        <f>IF(I$249&gt;$A260,$A260-$A259,I$249-SUM(I$252:I259))</f>
        <v>0</v>
      </c>
      <c r="J260" s="416">
        <f>IF(J$249&gt;$A260,$A260-$A259,J$249-SUM(J$252:J259))</f>
        <v>0</v>
      </c>
      <c r="K260" s="416">
        <f>IF(K$249&gt;$A260,$A260-$A259,K$249-SUM(K$252:K259))</f>
        <v>0</v>
      </c>
      <c r="L260" s="416">
        <f>IF(L$249&gt;$A260,$A260-$A259,L$249-SUM(L$252:L259))</f>
        <v>0</v>
      </c>
      <c r="M260" s="283"/>
      <c r="N260" s="405">
        <f t="shared" si="75"/>
        <v>0</v>
      </c>
      <c r="O260" s="95">
        <f t="shared" si="75"/>
        <v>0</v>
      </c>
      <c r="P260" s="95">
        <f t="shared" si="75"/>
        <v>0</v>
      </c>
      <c r="Q260" s="95">
        <f t="shared" si="75"/>
        <v>0</v>
      </c>
      <c r="R260" s="95">
        <f t="shared" si="75"/>
        <v>0</v>
      </c>
      <c r="S260" s="95">
        <f t="shared" si="75"/>
        <v>0</v>
      </c>
      <c r="T260" s="95">
        <f t="shared" si="75"/>
        <v>0</v>
      </c>
      <c r="U260" s="95">
        <f t="shared" si="75"/>
        <v>0</v>
      </c>
      <c r="V260" s="95">
        <f t="shared" si="75"/>
        <v>0</v>
      </c>
      <c r="W260" s="95">
        <f t="shared" si="75"/>
        <v>0</v>
      </c>
      <c r="X260" s="283"/>
    </row>
    <row r="261" spans="1:24" s="8" customFormat="1" outlineLevel="1">
      <c r="A261" s="404"/>
      <c r="B261" s="417" t="str">
        <f>CONCATENATE(B248," Total")</f>
        <v>BenQ Total</v>
      </c>
      <c r="C261" s="418">
        <f>SUM(C252:C260)</f>
        <v>1.2000000000000002</v>
      </c>
      <c r="D261" s="419">
        <f t="shared" ref="D261:L261" si="76">SUM(D252:D260)</f>
        <v>0.89999999999999991</v>
      </c>
      <c r="E261" s="419">
        <f t="shared" si="76"/>
        <v>0</v>
      </c>
      <c r="F261" s="419">
        <f t="shared" si="76"/>
        <v>0</v>
      </c>
      <c r="G261" s="419">
        <f t="shared" si="76"/>
        <v>0</v>
      </c>
      <c r="H261" s="419">
        <f t="shared" si="76"/>
        <v>0</v>
      </c>
      <c r="I261" s="419">
        <f t="shared" si="76"/>
        <v>0</v>
      </c>
      <c r="J261" s="419">
        <f t="shared" si="76"/>
        <v>0</v>
      </c>
      <c r="K261" s="419">
        <f t="shared" si="76"/>
        <v>0</v>
      </c>
      <c r="L261" s="419">
        <f t="shared" si="76"/>
        <v>0</v>
      </c>
      <c r="M261" s="283"/>
      <c r="N261" s="420">
        <f>SUM(N252:N260)</f>
        <v>1.016</v>
      </c>
      <c r="O261" s="420">
        <f t="shared" ref="O261:W261" si="77">SUM(O252:O260)</f>
        <v>0.80199999999999994</v>
      </c>
      <c r="P261" s="420">
        <f t="shared" si="77"/>
        <v>0</v>
      </c>
      <c r="Q261" s="420">
        <f t="shared" si="77"/>
        <v>0</v>
      </c>
      <c r="R261" s="420">
        <f t="shared" si="77"/>
        <v>0</v>
      </c>
      <c r="S261" s="420">
        <f t="shared" si="77"/>
        <v>0</v>
      </c>
      <c r="T261" s="420">
        <f t="shared" si="77"/>
        <v>0</v>
      </c>
      <c r="U261" s="420">
        <f t="shared" si="77"/>
        <v>0</v>
      </c>
      <c r="V261" s="420">
        <f t="shared" si="77"/>
        <v>0</v>
      </c>
      <c r="W261" s="420">
        <f t="shared" si="77"/>
        <v>0</v>
      </c>
      <c r="X261" s="283"/>
    </row>
    <row r="262" spans="1:24" s="8" customFormat="1" outlineLevel="1">
      <c r="B262" s="421" t="s">
        <v>778</v>
      </c>
      <c r="C262" s="422">
        <f t="shared" ref="C262:L262" si="78">C261-C249</f>
        <v>0</v>
      </c>
      <c r="D262" s="423">
        <f t="shared" si="78"/>
        <v>0</v>
      </c>
      <c r="E262" s="423">
        <f t="shared" si="78"/>
        <v>0</v>
      </c>
      <c r="F262" s="423">
        <f t="shared" si="78"/>
        <v>0</v>
      </c>
      <c r="G262" s="423">
        <f t="shared" si="78"/>
        <v>0</v>
      </c>
      <c r="H262" s="423">
        <f t="shared" si="78"/>
        <v>0</v>
      </c>
      <c r="I262" s="423">
        <f t="shared" si="78"/>
        <v>0</v>
      </c>
      <c r="J262" s="423">
        <f t="shared" si="78"/>
        <v>0</v>
      </c>
      <c r="K262" s="423">
        <f t="shared" si="78"/>
        <v>0</v>
      </c>
      <c r="L262" s="423">
        <f t="shared" si="78"/>
        <v>0</v>
      </c>
      <c r="M262" s="283"/>
      <c r="N262" s="283"/>
      <c r="O262" s="283"/>
      <c r="P262" s="283"/>
      <c r="Q262" s="283"/>
      <c r="R262" s="283"/>
      <c r="S262" s="283"/>
      <c r="T262" s="283"/>
      <c r="U262" s="283"/>
      <c r="V262" s="283"/>
      <c r="W262" s="283"/>
      <c r="X262" s="283"/>
    </row>
    <row r="263" spans="1:24" s="8" customFormat="1" outlineLevel="1">
      <c r="B263" s="283"/>
      <c r="C263" s="283"/>
      <c r="M263" s="283"/>
      <c r="X263" s="283"/>
    </row>
    <row r="264" spans="1:24" s="8" customFormat="1" outlineLevel="1" collapsed="1">
      <c r="A264" s="8">
        <f>A248+1</f>
        <v>6</v>
      </c>
      <c r="B264" s="424" t="str">
        <f>A145</f>
        <v>Blackberry</v>
      </c>
      <c r="C264" s="80">
        <v>2007</v>
      </c>
      <c r="D264" s="66">
        <f>C264+1</f>
        <v>2008</v>
      </c>
      <c r="E264" s="66">
        <f t="shared" ref="E264:L264" si="79">D264+1</f>
        <v>2009</v>
      </c>
      <c r="F264" s="66">
        <f t="shared" si="79"/>
        <v>2010</v>
      </c>
      <c r="G264" s="66">
        <f t="shared" si="79"/>
        <v>2011</v>
      </c>
      <c r="H264" s="66">
        <f t="shared" si="79"/>
        <v>2012</v>
      </c>
      <c r="I264" s="66">
        <f t="shared" si="79"/>
        <v>2013</v>
      </c>
      <c r="J264" s="66">
        <f t="shared" si="79"/>
        <v>2014</v>
      </c>
      <c r="K264" s="66">
        <f t="shared" si="79"/>
        <v>2015</v>
      </c>
      <c r="L264" s="66">
        <f t="shared" si="79"/>
        <v>2016</v>
      </c>
      <c r="M264" s="283"/>
      <c r="N264" s="168">
        <f t="shared" ref="N264:W264" si="80">C264</f>
        <v>2007</v>
      </c>
      <c r="O264" s="66">
        <f t="shared" si="80"/>
        <v>2008</v>
      </c>
      <c r="P264" s="66">
        <f t="shared" si="80"/>
        <v>2009</v>
      </c>
      <c r="Q264" s="66">
        <f t="shared" si="80"/>
        <v>2010</v>
      </c>
      <c r="R264" s="66">
        <f t="shared" si="80"/>
        <v>2011</v>
      </c>
      <c r="S264" s="66">
        <f t="shared" si="80"/>
        <v>2012</v>
      </c>
      <c r="T264" s="66">
        <f t="shared" si="80"/>
        <v>2013</v>
      </c>
      <c r="U264" s="66">
        <f t="shared" si="80"/>
        <v>2014</v>
      </c>
      <c r="V264" s="66">
        <f t="shared" si="80"/>
        <v>2015</v>
      </c>
      <c r="W264" s="66">
        <f t="shared" si="80"/>
        <v>2016</v>
      </c>
      <c r="X264" s="283"/>
    </row>
    <row r="265" spans="1:24" s="8" customFormat="1" outlineLevel="2">
      <c r="B265" s="8" t="s">
        <v>1348</v>
      </c>
      <c r="C265" s="411">
        <f t="shared" ref="C265:L265" si="81">VLOOKUP($B264,$A$140:$K$175,C$183+1,FALSE)</f>
        <v>11.41</v>
      </c>
      <c r="D265" s="412">
        <f t="shared" si="81"/>
        <v>22.57</v>
      </c>
      <c r="E265" s="412">
        <f t="shared" si="81"/>
        <v>34</v>
      </c>
      <c r="F265" s="412">
        <f t="shared" si="81"/>
        <v>48</v>
      </c>
      <c r="G265" s="412">
        <f t="shared" si="81"/>
        <v>52.800000000000004</v>
      </c>
      <c r="H265" s="412">
        <f t="shared" si="81"/>
        <v>33.199999999999996</v>
      </c>
      <c r="I265" s="412">
        <f t="shared" si="81"/>
        <v>18.399999999999999</v>
      </c>
      <c r="J265" s="412">
        <f t="shared" si="81"/>
        <v>7</v>
      </c>
      <c r="K265" s="412">
        <f t="shared" si="81"/>
        <v>3.9080000000000004</v>
      </c>
      <c r="L265" s="412">
        <f t="shared" si="81"/>
        <v>1.7550000000000001</v>
      </c>
      <c r="M265" s="283"/>
      <c r="N265" s="283"/>
      <c r="X265" s="283"/>
    </row>
    <row r="266" spans="1:24" s="8" customFormat="1" outlineLevel="2">
      <c r="C266" s="413"/>
      <c r="D266" s="414"/>
      <c r="E266" s="414"/>
      <c r="F266" s="414"/>
      <c r="G266" s="414"/>
      <c r="H266" s="414"/>
      <c r="I266" s="414"/>
      <c r="J266" s="414"/>
      <c r="K266" s="414"/>
      <c r="L266" s="414"/>
      <c r="M266" s="283"/>
      <c r="N266" s="283"/>
      <c r="X266" s="283"/>
    </row>
    <row r="267" spans="1:24" s="8" customFormat="1" outlineLevel="2">
      <c r="A267" s="66" t="s">
        <v>1349</v>
      </c>
      <c r="B267" s="66" t="s">
        <v>1350</v>
      </c>
      <c r="C267" s="415"/>
      <c r="F267" s="9"/>
      <c r="M267" s="283"/>
      <c r="N267" s="283"/>
      <c r="X267" s="283"/>
    </row>
    <row r="268" spans="1:24" s="8" customFormat="1" outlineLevel="2">
      <c r="A268" s="416">
        <f>D$51</f>
        <v>0.5</v>
      </c>
      <c r="B268" s="416">
        <f>B$51</f>
        <v>0.98</v>
      </c>
      <c r="C268" s="411">
        <f>IF(C$265&gt;$A268,$A268,C$265)</f>
        <v>0.5</v>
      </c>
      <c r="D268" s="416">
        <f t="shared" ref="D268:L268" si="82">IF(D$265&gt;$A268,$A268,D$265)</f>
        <v>0.5</v>
      </c>
      <c r="E268" s="416">
        <f t="shared" si="82"/>
        <v>0.5</v>
      </c>
      <c r="F268" s="416">
        <f t="shared" si="82"/>
        <v>0.5</v>
      </c>
      <c r="G268" s="416">
        <f t="shared" si="82"/>
        <v>0.5</v>
      </c>
      <c r="H268" s="416">
        <f t="shared" si="82"/>
        <v>0.5</v>
      </c>
      <c r="I268" s="416">
        <f t="shared" si="82"/>
        <v>0.5</v>
      </c>
      <c r="J268" s="416">
        <f t="shared" si="82"/>
        <v>0.5</v>
      </c>
      <c r="K268" s="416">
        <f t="shared" si="82"/>
        <v>0.5</v>
      </c>
      <c r="L268" s="416">
        <f t="shared" si="82"/>
        <v>0.5</v>
      </c>
      <c r="M268" s="283"/>
      <c r="N268" s="405">
        <f t="shared" ref="N268:W276" si="83">C268*$B268</f>
        <v>0.49</v>
      </c>
      <c r="O268" s="95">
        <f t="shared" si="83"/>
        <v>0.49</v>
      </c>
      <c r="P268" s="95">
        <f t="shared" si="83"/>
        <v>0.49</v>
      </c>
      <c r="Q268" s="95">
        <f t="shared" si="83"/>
        <v>0.49</v>
      </c>
      <c r="R268" s="95">
        <f t="shared" si="83"/>
        <v>0.49</v>
      </c>
      <c r="S268" s="95">
        <f t="shared" si="83"/>
        <v>0.49</v>
      </c>
      <c r="T268" s="95">
        <f t="shared" si="83"/>
        <v>0.49</v>
      </c>
      <c r="U268" s="95">
        <f t="shared" si="83"/>
        <v>0.49</v>
      </c>
      <c r="V268" s="95">
        <f t="shared" si="83"/>
        <v>0.49</v>
      </c>
      <c r="W268" s="95">
        <f t="shared" si="83"/>
        <v>0.49</v>
      </c>
      <c r="X268" s="283"/>
    </row>
    <row r="269" spans="1:24" s="8" customFormat="1" outlineLevel="2">
      <c r="A269" s="416">
        <f>D$52</f>
        <v>1</v>
      </c>
      <c r="B269" s="416">
        <f>B$52</f>
        <v>0.78</v>
      </c>
      <c r="C269" s="411">
        <f>IF(C$265&gt;$A269,$A269-$A268,C$265-SUM(C268:C$268))</f>
        <v>0.5</v>
      </c>
      <c r="D269" s="416">
        <f>IF(D$265&gt;$A269,$A269-$A268,D$265-SUM(D268:D$268))</f>
        <v>0.5</v>
      </c>
      <c r="E269" s="416">
        <f>IF(E$265&gt;$A269,$A269-$A268,E$265-SUM(E268:E$268))</f>
        <v>0.5</v>
      </c>
      <c r="F269" s="416">
        <f>IF(F$265&gt;$A269,$A269-$A268,F$265-SUM(F268:F$268))</f>
        <v>0.5</v>
      </c>
      <c r="G269" s="416">
        <f>IF(G$265&gt;$A269,$A269-$A268,G$265-SUM(G268:G$268))</f>
        <v>0.5</v>
      </c>
      <c r="H269" s="416">
        <f>IF(H$265&gt;$A269,$A269-$A268,H$265-SUM(H268:H$268))</f>
        <v>0.5</v>
      </c>
      <c r="I269" s="416">
        <f>IF(I$265&gt;$A269,$A269-$A268,I$265-SUM(I268:I$268))</f>
        <v>0.5</v>
      </c>
      <c r="J269" s="416">
        <f>IF(J$265&gt;$A269,$A269-$A268,J$265-SUM(J268:J$268))</f>
        <v>0.5</v>
      </c>
      <c r="K269" s="416">
        <f>IF(K$265&gt;$A269,$A269-$A268,K$265-SUM(K268:K$268))</f>
        <v>0.5</v>
      </c>
      <c r="L269" s="416">
        <f>IF(L$265&gt;$A269,$A269-$A268,L$265-SUM(L268:L$268))</f>
        <v>0.5</v>
      </c>
      <c r="M269" s="283"/>
      <c r="N269" s="405">
        <f t="shared" si="83"/>
        <v>0.39</v>
      </c>
      <c r="O269" s="95">
        <f t="shared" si="83"/>
        <v>0.39</v>
      </c>
      <c r="P269" s="95">
        <f t="shared" si="83"/>
        <v>0.39</v>
      </c>
      <c r="Q269" s="95">
        <f t="shared" si="83"/>
        <v>0.39</v>
      </c>
      <c r="R269" s="95">
        <f t="shared" si="83"/>
        <v>0.39</v>
      </c>
      <c r="S269" s="95">
        <f t="shared" si="83"/>
        <v>0.39</v>
      </c>
      <c r="T269" s="95">
        <f t="shared" si="83"/>
        <v>0.39</v>
      </c>
      <c r="U269" s="95">
        <f t="shared" si="83"/>
        <v>0.39</v>
      </c>
      <c r="V269" s="95">
        <f t="shared" si="83"/>
        <v>0.39</v>
      </c>
      <c r="W269" s="95">
        <f t="shared" si="83"/>
        <v>0.39</v>
      </c>
      <c r="X269" s="283"/>
    </row>
    <row r="270" spans="1:24" s="8" customFormat="1" outlineLevel="2">
      <c r="A270" s="416">
        <f>D$53</f>
        <v>2</v>
      </c>
      <c r="B270" s="416">
        <f>B$53</f>
        <v>0.68</v>
      </c>
      <c r="C270" s="411">
        <f>IF(C$265&gt;$A270,$A270-$A269,C$265-SUM(C$268:C269))</f>
        <v>1</v>
      </c>
      <c r="D270" s="416">
        <f>IF(D$265&gt;$A270,$A270-$A269,D$265-SUM(D$268:D269))</f>
        <v>1</v>
      </c>
      <c r="E270" s="416">
        <f>IF(E$265&gt;$A270,$A270-$A269,E$265-SUM(E$268:E269))</f>
        <v>1</v>
      </c>
      <c r="F270" s="416">
        <f>IF(F$265&gt;$A270,$A270-$A269,F$265-SUM(F$268:F269))</f>
        <v>1</v>
      </c>
      <c r="G270" s="416">
        <f>IF(G$265&gt;$A270,$A270-$A269,G$265-SUM(G$268:G269))</f>
        <v>1</v>
      </c>
      <c r="H270" s="416">
        <f>IF(H$265&gt;$A270,$A270-$A269,H$265-SUM(H$268:H269))</f>
        <v>1</v>
      </c>
      <c r="I270" s="416">
        <f>IF(I$265&gt;$A270,$A270-$A269,I$265-SUM(I$268:I269))</f>
        <v>1</v>
      </c>
      <c r="J270" s="416">
        <f>IF(J$265&gt;$A270,$A270-$A269,J$265-SUM(J$268:J269))</f>
        <v>1</v>
      </c>
      <c r="K270" s="416">
        <f>IF(K$265&gt;$A270,$A270-$A269,K$265-SUM(K$268:K269))</f>
        <v>1</v>
      </c>
      <c r="L270" s="416">
        <f>IF(L$265&gt;$A270,$A270-$A269,L$265-SUM(L$268:L269))</f>
        <v>0.75500000000000012</v>
      </c>
      <c r="M270" s="283"/>
      <c r="N270" s="405">
        <f t="shared" si="83"/>
        <v>0.68</v>
      </c>
      <c r="O270" s="95">
        <f t="shared" si="83"/>
        <v>0.68</v>
      </c>
      <c r="P270" s="95">
        <f t="shared" si="83"/>
        <v>0.68</v>
      </c>
      <c r="Q270" s="95">
        <f t="shared" si="83"/>
        <v>0.68</v>
      </c>
      <c r="R270" s="95">
        <f t="shared" si="83"/>
        <v>0.68</v>
      </c>
      <c r="S270" s="95">
        <f t="shared" si="83"/>
        <v>0.68</v>
      </c>
      <c r="T270" s="95">
        <f t="shared" si="83"/>
        <v>0.68</v>
      </c>
      <c r="U270" s="95">
        <f t="shared" si="83"/>
        <v>0.68</v>
      </c>
      <c r="V270" s="95">
        <f t="shared" si="83"/>
        <v>0.68</v>
      </c>
      <c r="W270" s="95">
        <f t="shared" si="83"/>
        <v>0.51340000000000008</v>
      </c>
      <c r="X270" s="283"/>
    </row>
    <row r="271" spans="1:24" s="8" customFormat="1" outlineLevel="2">
      <c r="A271" s="416">
        <f>D$54</f>
        <v>5</v>
      </c>
      <c r="B271" s="416">
        <f>B$54</f>
        <v>0.45</v>
      </c>
      <c r="C271" s="411">
        <f>IF(C$265&gt;$A271,$A271-$A270,C$265-SUM(C$268:C270))</f>
        <v>3</v>
      </c>
      <c r="D271" s="416">
        <f>IF(D$265&gt;$A271,$A271-$A270,D$265-SUM(D$268:D270))</f>
        <v>3</v>
      </c>
      <c r="E271" s="416">
        <f>IF(E$265&gt;$A271,$A271-$A270,E$265-SUM(E$268:E270))</f>
        <v>3</v>
      </c>
      <c r="F271" s="416">
        <f>IF(F$265&gt;$A271,$A271-$A270,F$265-SUM(F$268:F270))</f>
        <v>3</v>
      </c>
      <c r="G271" s="416">
        <f>IF(G$265&gt;$A271,$A271-$A270,G$265-SUM(G$268:G270))</f>
        <v>3</v>
      </c>
      <c r="H271" s="416">
        <f>IF(H$265&gt;$A271,$A271-$A270,H$265-SUM(H$268:H270))</f>
        <v>3</v>
      </c>
      <c r="I271" s="416">
        <f>IF(I$265&gt;$A271,$A271-$A270,I$265-SUM(I$268:I270))</f>
        <v>3</v>
      </c>
      <c r="J271" s="416">
        <f>IF(J$265&gt;$A271,$A271-$A270,J$265-SUM(J$268:J270))</f>
        <v>3</v>
      </c>
      <c r="K271" s="416">
        <f>IF(K$265&gt;$A271,$A271-$A270,K$265-SUM(K$268:K270))</f>
        <v>1.9080000000000004</v>
      </c>
      <c r="L271" s="416">
        <f>IF(L$265&gt;$A271,$A271-$A270,L$265-SUM(L$268:L270))</f>
        <v>0</v>
      </c>
      <c r="M271" s="283"/>
      <c r="N271" s="405">
        <f t="shared" si="83"/>
        <v>1.35</v>
      </c>
      <c r="O271" s="95">
        <f t="shared" si="83"/>
        <v>1.35</v>
      </c>
      <c r="P271" s="95">
        <f t="shared" si="83"/>
        <v>1.35</v>
      </c>
      <c r="Q271" s="95">
        <f t="shared" si="83"/>
        <v>1.35</v>
      </c>
      <c r="R271" s="95">
        <f t="shared" si="83"/>
        <v>1.35</v>
      </c>
      <c r="S271" s="95">
        <f t="shared" si="83"/>
        <v>1.35</v>
      </c>
      <c r="T271" s="95">
        <f t="shared" si="83"/>
        <v>1.35</v>
      </c>
      <c r="U271" s="95">
        <f t="shared" si="83"/>
        <v>1.35</v>
      </c>
      <c r="V271" s="95">
        <f t="shared" si="83"/>
        <v>0.85860000000000014</v>
      </c>
      <c r="W271" s="95">
        <f t="shared" si="83"/>
        <v>0</v>
      </c>
      <c r="X271" s="283"/>
    </row>
    <row r="272" spans="1:24" s="8" customFormat="1" outlineLevel="2">
      <c r="A272" s="416">
        <f>D$55</f>
        <v>10</v>
      </c>
      <c r="B272" s="416">
        <f>B$55</f>
        <v>0.42</v>
      </c>
      <c r="C272" s="411">
        <f>IF(C$265&gt;$A272,$A272-$A271,C$265-SUM(C$268:C271))</f>
        <v>5</v>
      </c>
      <c r="D272" s="416">
        <f>IF(D$265&gt;$A272,$A272-$A271,D$265-SUM(D$268:D271))</f>
        <v>5</v>
      </c>
      <c r="E272" s="416">
        <f>IF(E$265&gt;$A272,$A272-$A271,E$265-SUM(E$268:E271))</f>
        <v>5</v>
      </c>
      <c r="F272" s="416">
        <f>IF(F$265&gt;$A272,$A272-$A271,F$265-SUM(F$268:F271))</f>
        <v>5</v>
      </c>
      <c r="G272" s="416">
        <f>IF(G$265&gt;$A272,$A272-$A271,G$265-SUM(G$268:G271))</f>
        <v>5</v>
      </c>
      <c r="H272" s="416">
        <f>IF(H$265&gt;$A272,$A272-$A271,H$265-SUM(H$268:H271))</f>
        <v>5</v>
      </c>
      <c r="I272" s="416">
        <f>IF(I$265&gt;$A272,$A272-$A271,I$265-SUM(I$268:I271))</f>
        <v>5</v>
      </c>
      <c r="J272" s="416">
        <f>IF(J$265&gt;$A272,$A272-$A271,J$265-SUM(J$268:J271))</f>
        <v>2</v>
      </c>
      <c r="K272" s="416">
        <f>IF(K$265&gt;$A272,$A272-$A271,K$265-SUM(K$268:K271))</f>
        <v>0</v>
      </c>
      <c r="L272" s="416">
        <f>IF(L$265&gt;$A272,$A272-$A271,L$265-SUM(L$268:L271))</f>
        <v>0</v>
      </c>
      <c r="M272" s="283"/>
      <c r="N272" s="405">
        <f t="shared" si="83"/>
        <v>2.1</v>
      </c>
      <c r="O272" s="95">
        <f t="shared" si="83"/>
        <v>2.1</v>
      </c>
      <c r="P272" s="95">
        <f t="shared" si="83"/>
        <v>2.1</v>
      </c>
      <c r="Q272" s="95">
        <f t="shared" si="83"/>
        <v>2.1</v>
      </c>
      <c r="R272" s="95">
        <f t="shared" si="83"/>
        <v>2.1</v>
      </c>
      <c r="S272" s="95">
        <f t="shared" si="83"/>
        <v>2.1</v>
      </c>
      <c r="T272" s="95">
        <f t="shared" si="83"/>
        <v>2.1</v>
      </c>
      <c r="U272" s="95">
        <f t="shared" si="83"/>
        <v>0.84</v>
      </c>
      <c r="V272" s="95">
        <f t="shared" si="83"/>
        <v>0</v>
      </c>
      <c r="W272" s="95">
        <f t="shared" si="83"/>
        <v>0</v>
      </c>
      <c r="X272" s="283"/>
    </row>
    <row r="273" spans="1:24" s="8" customFormat="1" outlineLevel="2">
      <c r="A273" s="416">
        <f>D$56</f>
        <v>20</v>
      </c>
      <c r="B273" s="416">
        <f>B$56</f>
        <v>0.22</v>
      </c>
      <c r="C273" s="411">
        <f>IF(C$265&gt;$A273,$A273-$A272,C$265-SUM(C$268:C272))</f>
        <v>1.4100000000000001</v>
      </c>
      <c r="D273" s="416">
        <f>IF(D$265&gt;$A273,$A273-$A272,D$265-SUM(D$268:D272))</f>
        <v>10</v>
      </c>
      <c r="E273" s="416">
        <f>IF(E$265&gt;$A273,$A273-$A272,E$265-SUM(E$268:E272))</f>
        <v>10</v>
      </c>
      <c r="F273" s="416">
        <f>IF(F$265&gt;$A273,$A273-$A272,F$265-SUM(F$268:F272))</f>
        <v>10</v>
      </c>
      <c r="G273" s="416">
        <f>IF(G$265&gt;$A273,$A273-$A272,G$265-SUM(G$268:G272))</f>
        <v>10</v>
      </c>
      <c r="H273" s="416">
        <f>IF(H$265&gt;$A273,$A273-$A272,H$265-SUM(H$268:H272))</f>
        <v>10</v>
      </c>
      <c r="I273" s="416">
        <f>IF(I$265&gt;$A273,$A273-$A272,I$265-SUM(I$268:I272))</f>
        <v>8.3999999999999986</v>
      </c>
      <c r="J273" s="416">
        <f>IF(J$265&gt;$A273,$A273-$A272,J$265-SUM(J$268:J272))</f>
        <v>0</v>
      </c>
      <c r="K273" s="416">
        <f>IF(K$265&gt;$A273,$A273-$A272,K$265-SUM(K$268:K272))</f>
        <v>0</v>
      </c>
      <c r="L273" s="416">
        <f>IF(L$265&gt;$A273,$A273-$A272,L$265-SUM(L$268:L272))</f>
        <v>0</v>
      </c>
      <c r="M273" s="283"/>
      <c r="N273" s="405">
        <f t="shared" si="83"/>
        <v>0.31020000000000003</v>
      </c>
      <c r="O273" s="95">
        <f t="shared" si="83"/>
        <v>2.2000000000000002</v>
      </c>
      <c r="P273" s="95">
        <f t="shared" si="83"/>
        <v>2.2000000000000002</v>
      </c>
      <c r="Q273" s="95">
        <f t="shared" si="83"/>
        <v>2.2000000000000002</v>
      </c>
      <c r="R273" s="95">
        <f t="shared" si="83"/>
        <v>2.2000000000000002</v>
      </c>
      <c r="S273" s="95">
        <f t="shared" si="83"/>
        <v>2.2000000000000002</v>
      </c>
      <c r="T273" s="95">
        <f t="shared" si="83"/>
        <v>1.8479999999999996</v>
      </c>
      <c r="U273" s="95">
        <f t="shared" si="83"/>
        <v>0</v>
      </c>
      <c r="V273" s="95">
        <f t="shared" si="83"/>
        <v>0</v>
      </c>
      <c r="W273" s="95">
        <f t="shared" si="83"/>
        <v>0</v>
      </c>
      <c r="X273" s="283"/>
    </row>
    <row r="274" spans="1:24" s="8" customFormat="1" outlineLevel="2">
      <c r="A274" s="416">
        <f>D$57</f>
        <v>50</v>
      </c>
      <c r="B274" s="416">
        <f>B$57</f>
        <v>0.2</v>
      </c>
      <c r="C274" s="411">
        <f>IF(C$265&gt;$A274,$A274-$A273,C$265-SUM(C$268:C273))</f>
        <v>0</v>
      </c>
      <c r="D274" s="416">
        <f>IF(D$265&gt;$A274,$A274-$A273,D$265-SUM(D$268:D273))</f>
        <v>2.5700000000000003</v>
      </c>
      <c r="E274" s="416">
        <f>IF(E$265&gt;$A274,$A274-$A273,E$265-SUM(E$268:E273))</f>
        <v>14</v>
      </c>
      <c r="F274" s="416">
        <f>IF(F$265&gt;$A274,$A274-$A273,F$265-SUM(F$268:F273))</f>
        <v>28</v>
      </c>
      <c r="G274" s="416">
        <f>IF(G$265&gt;$A274,$A274-$A273,G$265-SUM(G$268:G273))</f>
        <v>30</v>
      </c>
      <c r="H274" s="416">
        <f>IF(H$265&gt;$A274,$A274-$A273,H$265-SUM(H$268:H273))</f>
        <v>13.199999999999996</v>
      </c>
      <c r="I274" s="416">
        <f>IF(I$265&gt;$A274,$A274-$A273,I$265-SUM(I$268:I273))</f>
        <v>0</v>
      </c>
      <c r="J274" s="416">
        <f>IF(J$265&gt;$A274,$A274-$A273,J$265-SUM(J$268:J273))</f>
        <v>0</v>
      </c>
      <c r="K274" s="416">
        <f>IF(K$265&gt;$A274,$A274-$A273,K$265-SUM(K$268:K273))</f>
        <v>0</v>
      </c>
      <c r="L274" s="416">
        <f>IF(L$265&gt;$A274,$A274-$A273,L$265-SUM(L$268:L273))</f>
        <v>0</v>
      </c>
      <c r="M274" s="283"/>
      <c r="N274" s="405">
        <f t="shared" si="83"/>
        <v>0</v>
      </c>
      <c r="O274" s="95">
        <f t="shared" si="83"/>
        <v>0.51400000000000012</v>
      </c>
      <c r="P274" s="95">
        <f t="shared" si="83"/>
        <v>2.8000000000000003</v>
      </c>
      <c r="Q274" s="95">
        <f t="shared" si="83"/>
        <v>5.6000000000000005</v>
      </c>
      <c r="R274" s="95">
        <f t="shared" si="83"/>
        <v>6</v>
      </c>
      <c r="S274" s="95">
        <f t="shared" si="83"/>
        <v>2.6399999999999992</v>
      </c>
      <c r="T274" s="95">
        <f t="shared" si="83"/>
        <v>0</v>
      </c>
      <c r="U274" s="95">
        <f t="shared" si="83"/>
        <v>0</v>
      </c>
      <c r="V274" s="95">
        <f t="shared" si="83"/>
        <v>0</v>
      </c>
      <c r="W274" s="95">
        <f t="shared" si="83"/>
        <v>0</v>
      </c>
      <c r="X274" s="283"/>
    </row>
    <row r="275" spans="1:24" s="8" customFormat="1" outlineLevel="2">
      <c r="A275" s="416">
        <f>D$58</f>
        <v>75</v>
      </c>
      <c r="B275" s="416">
        <f>B$58</f>
        <v>0.15</v>
      </c>
      <c r="C275" s="411">
        <f>IF(C$265&gt;$A275,$A275-$A274,C$265-SUM(C$268:C274))</f>
        <v>0</v>
      </c>
      <c r="D275" s="416">
        <f>IF(D$265&gt;$A275,$A275-$A274,D$265-SUM(D$268:D274))</f>
        <v>0</v>
      </c>
      <c r="E275" s="416">
        <f>IF(E$265&gt;$A275,$A275-$A274,E$265-SUM(E$268:E274))</f>
        <v>0</v>
      </c>
      <c r="F275" s="416">
        <f>IF(F$265&gt;$A275,$A275-$A274,F$265-SUM(F$268:F274))</f>
        <v>0</v>
      </c>
      <c r="G275" s="416">
        <f>IF(G$265&gt;$A275,$A275-$A274,G$265-SUM(G$268:G274))</f>
        <v>2.8000000000000043</v>
      </c>
      <c r="H275" s="416">
        <f>IF(H$265&gt;$A275,$A275-$A274,H$265-SUM(H$268:H274))</f>
        <v>0</v>
      </c>
      <c r="I275" s="416">
        <f>IF(I$265&gt;$A275,$A275-$A274,I$265-SUM(I$268:I274))</f>
        <v>0</v>
      </c>
      <c r="J275" s="416">
        <f>IF(J$265&gt;$A275,$A275-$A274,J$265-SUM(J$268:J274))</f>
        <v>0</v>
      </c>
      <c r="K275" s="416">
        <f>IF(K$265&gt;$A275,$A275-$A274,K$265-SUM(K$268:K274))</f>
        <v>0</v>
      </c>
      <c r="L275" s="416">
        <f>IF(L$265&gt;$A275,$A275-$A274,L$265-SUM(L$268:L274))</f>
        <v>0</v>
      </c>
      <c r="M275" s="283"/>
      <c r="N275" s="405">
        <f t="shared" si="83"/>
        <v>0</v>
      </c>
      <c r="O275" s="95">
        <f t="shared" si="83"/>
        <v>0</v>
      </c>
      <c r="P275" s="95">
        <f t="shared" si="83"/>
        <v>0</v>
      </c>
      <c r="Q275" s="95">
        <f t="shared" si="83"/>
        <v>0</v>
      </c>
      <c r="R275" s="95">
        <f t="shared" si="83"/>
        <v>0.42000000000000065</v>
      </c>
      <c r="S275" s="95">
        <f t="shared" si="83"/>
        <v>0</v>
      </c>
      <c r="T275" s="95">
        <f t="shared" si="83"/>
        <v>0</v>
      </c>
      <c r="U275" s="95">
        <f t="shared" si="83"/>
        <v>0</v>
      </c>
      <c r="V275" s="95">
        <f t="shared" si="83"/>
        <v>0</v>
      </c>
      <c r="W275" s="95">
        <f t="shared" si="83"/>
        <v>0</v>
      </c>
      <c r="X275" s="283"/>
    </row>
    <row r="276" spans="1:24" s="8" customFormat="1" outlineLevel="2">
      <c r="A276" s="416">
        <f>D$59</f>
        <v>9999</v>
      </c>
      <c r="B276" s="416">
        <f>B$59</f>
        <v>0.1</v>
      </c>
      <c r="C276" s="411">
        <f>IF(C$265&gt;$A276,$A276-$A275,C$265-SUM(C$268:C275))</f>
        <v>0</v>
      </c>
      <c r="D276" s="416">
        <f>IF(D$265&gt;$A276,$A276-$A275,D$265-SUM(D$268:D275))</f>
        <v>0</v>
      </c>
      <c r="E276" s="416">
        <f>IF(E$265&gt;$A276,$A276-$A275,E$265-SUM(E$268:E275))</f>
        <v>0</v>
      </c>
      <c r="F276" s="416">
        <f>IF(F$265&gt;$A276,$A276-$A275,F$265-SUM(F$268:F275))</f>
        <v>0</v>
      </c>
      <c r="G276" s="416">
        <f>IF(G$265&gt;$A276,$A276-$A275,G$265-SUM(G$268:G275))</f>
        <v>0</v>
      </c>
      <c r="H276" s="416">
        <f>IF(H$265&gt;$A276,$A276-$A275,H$265-SUM(H$268:H275))</f>
        <v>0</v>
      </c>
      <c r="I276" s="416">
        <f>IF(I$265&gt;$A276,$A276-$A275,I$265-SUM(I$268:I275))</f>
        <v>0</v>
      </c>
      <c r="J276" s="416">
        <f>IF(J$265&gt;$A276,$A276-$A275,J$265-SUM(J$268:J275))</f>
        <v>0</v>
      </c>
      <c r="K276" s="416">
        <f>IF(K$265&gt;$A276,$A276-$A275,K$265-SUM(K$268:K275))</f>
        <v>0</v>
      </c>
      <c r="L276" s="416">
        <f>IF(L$265&gt;$A276,$A276-$A275,L$265-SUM(L$268:L275))</f>
        <v>0</v>
      </c>
      <c r="M276" s="283"/>
      <c r="N276" s="405">
        <f t="shared" si="83"/>
        <v>0</v>
      </c>
      <c r="O276" s="95">
        <f t="shared" si="83"/>
        <v>0</v>
      </c>
      <c r="P276" s="95">
        <f t="shared" si="83"/>
        <v>0</v>
      </c>
      <c r="Q276" s="95">
        <f t="shared" si="83"/>
        <v>0</v>
      </c>
      <c r="R276" s="95">
        <f t="shared" si="83"/>
        <v>0</v>
      </c>
      <c r="S276" s="95">
        <f t="shared" si="83"/>
        <v>0</v>
      </c>
      <c r="T276" s="95">
        <f t="shared" si="83"/>
        <v>0</v>
      </c>
      <c r="U276" s="95">
        <f t="shared" si="83"/>
        <v>0</v>
      </c>
      <c r="V276" s="95">
        <f t="shared" si="83"/>
        <v>0</v>
      </c>
      <c r="W276" s="95">
        <f t="shared" si="83"/>
        <v>0</v>
      </c>
      <c r="X276" s="283"/>
    </row>
    <row r="277" spans="1:24" s="8" customFormat="1" outlineLevel="1">
      <c r="A277" s="404"/>
      <c r="B277" s="417" t="str">
        <f>CONCATENATE(B264," Total")</f>
        <v>Blackberry Total</v>
      </c>
      <c r="C277" s="418">
        <f>SUM(C268:C276)</f>
        <v>11.41</v>
      </c>
      <c r="D277" s="419">
        <f t="shared" ref="D277:L277" si="84">SUM(D268:D276)</f>
        <v>22.57</v>
      </c>
      <c r="E277" s="419">
        <f t="shared" si="84"/>
        <v>34</v>
      </c>
      <c r="F277" s="419">
        <f t="shared" si="84"/>
        <v>48</v>
      </c>
      <c r="G277" s="419">
        <f t="shared" si="84"/>
        <v>52.800000000000004</v>
      </c>
      <c r="H277" s="419">
        <f t="shared" si="84"/>
        <v>33.199999999999996</v>
      </c>
      <c r="I277" s="419">
        <f t="shared" si="84"/>
        <v>18.399999999999999</v>
      </c>
      <c r="J277" s="419">
        <f t="shared" si="84"/>
        <v>7</v>
      </c>
      <c r="K277" s="419">
        <f t="shared" si="84"/>
        <v>3.9080000000000004</v>
      </c>
      <c r="L277" s="419">
        <f t="shared" si="84"/>
        <v>1.7550000000000001</v>
      </c>
      <c r="M277" s="283"/>
      <c r="N277" s="420">
        <f>SUM(N268:N276)</f>
        <v>5.3201999999999998</v>
      </c>
      <c r="O277" s="420">
        <f t="shared" ref="O277:W277" si="85">SUM(O268:O276)</f>
        <v>7.7240000000000002</v>
      </c>
      <c r="P277" s="420">
        <f t="shared" si="85"/>
        <v>10.01</v>
      </c>
      <c r="Q277" s="420">
        <f t="shared" si="85"/>
        <v>12.81</v>
      </c>
      <c r="R277" s="420">
        <f t="shared" si="85"/>
        <v>13.63</v>
      </c>
      <c r="S277" s="420">
        <f t="shared" si="85"/>
        <v>9.85</v>
      </c>
      <c r="T277" s="420">
        <f t="shared" si="85"/>
        <v>6.8579999999999997</v>
      </c>
      <c r="U277" s="420">
        <f t="shared" si="85"/>
        <v>3.75</v>
      </c>
      <c r="V277" s="420">
        <f t="shared" si="85"/>
        <v>2.4186000000000001</v>
      </c>
      <c r="W277" s="420">
        <f t="shared" si="85"/>
        <v>1.3934000000000002</v>
      </c>
      <c r="X277" s="283"/>
    </row>
    <row r="278" spans="1:24" s="8" customFormat="1" outlineLevel="1">
      <c r="B278" s="421" t="s">
        <v>778</v>
      </c>
      <c r="C278" s="422">
        <f t="shared" ref="C278:L278" si="86">C277-C265</f>
        <v>0</v>
      </c>
      <c r="D278" s="423">
        <f t="shared" si="86"/>
        <v>0</v>
      </c>
      <c r="E278" s="423">
        <f t="shared" si="86"/>
        <v>0</v>
      </c>
      <c r="F278" s="423">
        <f t="shared" si="86"/>
        <v>0</v>
      </c>
      <c r="G278" s="423">
        <f t="shared" si="86"/>
        <v>0</v>
      </c>
      <c r="H278" s="423">
        <f t="shared" si="86"/>
        <v>0</v>
      </c>
      <c r="I278" s="423">
        <f t="shared" si="86"/>
        <v>0</v>
      </c>
      <c r="J278" s="423">
        <f t="shared" si="86"/>
        <v>0</v>
      </c>
      <c r="K278" s="423">
        <f t="shared" si="86"/>
        <v>0</v>
      </c>
      <c r="L278" s="423">
        <f t="shared" si="86"/>
        <v>0</v>
      </c>
      <c r="M278" s="283"/>
      <c r="N278" s="283"/>
      <c r="O278" s="283"/>
      <c r="P278" s="283"/>
      <c r="Q278" s="283"/>
      <c r="R278" s="283"/>
      <c r="S278" s="283"/>
      <c r="T278" s="283"/>
      <c r="U278" s="283"/>
      <c r="V278" s="283"/>
      <c r="W278" s="283"/>
      <c r="X278" s="283"/>
    </row>
    <row r="279" spans="1:24" s="8" customFormat="1" outlineLevel="1">
      <c r="M279" s="283"/>
      <c r="X279" s="283"/>
    </row>
    <row r="280" spans="1:24" s="8" customFormat="1" outlineLevel="1" collapsed="1">
      <c r="A280" s="8">
        <f>A264+1</f>
        <v>7</v>
      </c>
      <c r="B280" s="424" t="str">
        <f>A146</f>
        <v>Coolpad</v>
      </c>
      <c r="C280" s="80">
        <v>2007</v>
      </c>
      <c r="D280" s="66">
        <f>C280+1</f>
        <v>2008</v>
      </c>
      <c r="E280" s="66">
        <f t="shared" ref="E280:L280" si="87">D280+1</f>
        <v>2009</v>
      </c>
      <c r="F280" s="66">
        <f t="shared" si="87"/>
        <v>2010</v>
      </c>
      <c r="G280" s="66">
        <f t="shared" si="87"/>
        <v>2011</v>
      </c>
      <c r="H280" s="66">
        <f t="shared" si="87"/>
        <v>2012</v>
      </c>
      <c r="I280" s="66">
        <f t="shared" si="87"/>
        <v>2013</v>
      </c>
      <c r="J280" s="66">
        <f t="shared" si="87"/>
        <v>2014</v>
      </c>
      <c r="K280" s="66">
        <f t="shared" si="87"/>
        <v>2015</v>
      </c>
      <c r="L280" s="66">
        <f t="shared" si="87"/>
        <v>2016</v>
      </c>
      <c r="M280" s="283"/>
      <c r="N280" s="168">
        <f t="shared" ref="N280:W280" si="88">C280</f>
        <v>2007</v>
      </c>
      <c r="O280" s="66">
        <f t="shared" si="88"/>
        <v>2008</v>
      </c>
      <c r="P280" s="66">
        <f t="shared" si="88"/>
        <v>2009</v>
      </c>
      <c r="Q280" s="66">
        <f t="shared" si="88"/>
        <v>2010</v>
      </c>
      <c r="R280" s="66">
        <f t="shared" si="88"/>
        <v>2011</v>
      </c>
      <c r="S280" s="66">
        <f t="shared" si="88"/>
        <v>2012</v>
      </c>
      <c r="T280" s="66">
        <f t="shared" si="88"/>
        <v>2013</v>
      </c>
      <c r="U280" s="66">
        <f t="shared" si="88"/>
        <v>2014</v>
      </c>
      <c r="V280" s="66">
        <f t="shared" si="88"/>
        <v>2015</v>
      </c>
      <c r="W280" s="66">
        <f t="shared" si="88"/>
        <v>2016</v>
      </c>
      <c r="X280" s="283"/>
    </row>
    <row r="281" spans="1:24" s="8" customFormat="1" outlineLevel="2">
      <c r="B281" s="8" t="s">
        <v>1348</v>
      </c>
      <c r="C281" s="411">
        <f t="shared" ref="C281:L281" si="89">VLOOKUP($B280,$A$140:$K$175,C$183+1,FALSE)</f>
        <v>0</v>
      </c>
      <c r="D281" s="412">
        <f t="shared" si="89"/>
        <v>0</v>
      </c>
      <c r="E281" s="412">
        <f t="shared" si="89"/>
        <v>2.17</v>
      </c>
      <c r="F281" s="412">
        <f t="shared" si="89"/>
        <v>5</v>
      </c>
      <c r="G281" s="412">
        <f t="shared" si="89"/>
        <v>10.7</v>
      </c>
      <c r="H281" s="412">
        <f t="shared" si="89"/>
        <v>20.100000000000001</v>
      </c>
      <c r="I281" s="412">
        <f t="shared" si="89"/>
        <v>30</v>
      </c>
      <c r="J281" s="412">
        <f t="shared" si="89"/>
        <v>43</v>
      </c>
      <c r="K281" s="412">
        <f t="shared" si="89"/>
        <v>27</v>
      </c>
      <c r="L281" s="412">
        <f t="shared" si="89"/>
        <v>18</v>
      </c>
      <c r="M281" s="283"/>
      <c r="N281" s="283"/>
      <c r="X281" s="283"/>
    </row>
    <row r="282" spans="1:24" s="8" customFormat="1" outlineLevel="2">
      <c r="C282" s="413"/>
      <c r="D282" s="414"/>
      <c r="E282" s="414"/>
      <c r="F282" s="414"/>
      <c r="G282" s="414"/>
      <c r="H282" s="414"/>
      <c r="I282" s="414"/>
      <c r="J282" s="414"/>
      <c r="K282" s="414"/>
      <c r="L282" s="414"/>
      <c r="M282" s="283"/>
      <c r="N282" s="283"/>
      <c r="X282" s="283"/>
    </row>
    <row r="283" spans="1:24" s="8" customFormat="1" outlineLevel="2">
      <c r="A283" s="66" t="s">
        <v>1349</v>
      </c>
      <c r="B283" s="66" t="s">
        <v>1350</v>
      </c>
      <c r="C283" s="415"/>
      <c r="F283" s="9"/>
      <c r="M283" s="283"/>
      <c r="N283" s="283"/>
      <c r="X283" s="283"/>
    </row>
    <row r="284" spans="1:24" s="8" customFormat="1" outlineLevel="2">
      <c r="A284" s="416">
        <f>D$51</f>
        <v>0.5</v>
      </c>
      <c r="B284" s="416">
        <f>B$51</f>
        <v>0.98</v>
      </c>
      <c r="C284" s="411">
        <f>IF(C$281&gt;$A284,$A284,C$281)</f>
        <v>0</v>
      </c>
      <c r="D284" s="416">
        <f t="shared" ref="D284:L284" si="90">IF(D$281&gt;$A284,$A284,D$281)</f>
        <v>0</v>
      </c>
      <c r="E284" s="416">
        <f t="shared" si="90"/>
        <v>0.5</v>
      </c>
      <c r="F284" s="416">
        <f t="shared" si="90"/>
        <v>0.5</v>
      </c>
      <c r="G284" s="416">
        <f t="shared" si="90"/>
        <v>0.5</v>
      </c>
      <c r="H284" s="416">
        <f t="shared" si="90"/>
        <v>0.5</v>
      </c>
      <c r="I284" s="416">
        <f t="shared" si="90"/>
        <v>0.5</v>
      </c>
      <c r="J284" s="416">
        <f t="shared" si="90"/>
        <v>0.5</v>
      </c>
      <c r="K284" s="416">
        <f t="shared" si="90"/>
        <v>0.5</v>
      </c>
      <c r="L284" s="416">
        <f t="shared" si="90"/>
        <v>0.5</v>
      </c>
      <c r="M284" s="283"/>
      <c r="N284" s="405">
        <f t="shared" ref="N284:W292" si="91">C284*$B284</f>
        <v>0</v>
      </c>
      <c r="O284" s="95">
        <f t="shared" si="91"/>
        <v>0</v>
      </c>
      <c r="P284" s="95">
        <f t="shared" si="91"/>
        <v>0.49</v>
      </c>
      <c r="Q284" s="95">
        <f t="shared" si="91"/>
        <v>0.49</v>
      </c>
      <c r="R284" s="95">
        <f t="shared" si="91"/>
        <v>0.49</v>
      </c>
      <c r="S284" s="95">
        <f t="shared" si="91"/>
        <v>0.49</v>
      </c>
      <c r="T284" s="95">
        <f t="shared" si="91"/>
        <v>0.49</v>
      </c>
      <c r="U284" s="95">
        <f t="shared" si="91"/>
        <v>0.49</v>
      </c>
      <c r="V284" s="95">
        <f t="shared" si="91"/>
        <v>0.49</v>
      </c>
      <c r="W284" s="95">
        <f t="shared" si="91"/>
        <v>0.49</v>
      </c>
      <c r="X284" s="283"/>
    </row>
    <row r="285" spans="1:24" s="8" customFormat="1" outlineLevel="2">
      <c r="A285" s="416">
        <f>D$52</f>
        <v>1</v>
      </c>
      <c r="B285" s="416">
        <f>B$52</f>
        <v>0.78</v>
      </c>
      <c r="C285" s="411">
        <f>IF(C$281&gt;$A285,$A285-$A284,C$281-SUM(C284:C$284))</f>
        <v>0</v>
      </c>
      <c r="D285" s="416">
        <f>IF(D$281&gt;$A285,$A285-$A284,D$281-SUM(D284:D$284))</f>
        <v>0</v>
      </c>
      <c r="E285" s="416">
        <f>IF(E$281&gt;$A285,$A285-$A284,E$281-SUM(E284:E$284))</f>
        <v>0.5</v>
      </c>
      <c r="F285" s="416">
        <f>IF(F$281&gt;$A285,$A285-$A284,F$281-SUM(F284:F$284))</f>
        <v>0.5</v>
      </c>
      <c r="G285" s="416">
        <f>IF(G$281&gt;$A285,$A285-$A284,G$281-SUM(G284:G$284))</f>
        <v>0.5</v>
      </c>
      <c r="H285" s="416">
        <f>IF(H$281&gt;$A285,$A285-$A284,H$281-SUM(H284:H$284))</f>
        <v>0.5</v>
      </c>
      <c r="I285" s="416">
        <f>IF(I$281&gt;$A285,$A285-$A284,I$281-SUM(I284:I$284))</f>
        <v>0.5</v>
      </c>
      <c r="J285" s="416">
        <f>IF(J$281&gt;$A285,$A285-$A284,J$281-SUM(J284:J$284))</f>
        <v>0.5</v>
      </c>
      <c r="K285" s="416">
        <f>IF(K$281&gt;$A285,$A285-$A284,K$281-SUM(K284:K$284))</f>
        <v>0.5</v>
      </c>
      <c r="L285" s="416">
        <f>IF(L$281&gt;$A285,$A285-$A284,L$281-SUM(L284:L$284))</f>
        <v>0.5</v>
      </c>
      <c r="M285" s="283"/>
      <c r="N285" s="405">
        <f t="shared" si="91"/>
        <v>0</v>
      </c>
      <c r="O285" s="95">
        <f t="shared" si="91"/>
        <v>0</v>
      </c>
      <c r="P285" s="95">
        <f t="shared" si="91"/>
        <v>0.39</v>
      </c>
      <c r="Q285" s="95">
        <f t="shared" si="91"/>
        <v>0.39</v>
      </c>
      <c r="R285" s="95">
        <f t="shared" si="91"/>
        <v>0.39</v>
      </c>
      <c r="S285" s="95">
        <f t="shared" si="91"/>
        <v>0.39</v>
      </c>
      <c r="T285" s="95">
        <f t="shared" si="91"/>
        <v>0.39</v>
      </c>
      <c r="U285" s="95">
        <f t="shared" si="91"/>
        <v>0.39</v>
      </c>
      <c r="V285" s="95">
        <f t="shared" si="91"/>
        <v>0.39</v>
      </c>
      <c r="W285" s="95">
        <f t="shared" si="91"/>
        <v>0.39</v>
      </c>
      <c r="X285" s="283"/>
    </row>
    <row r="286" spans="1:24" s="8" customFormat="1" outlineLevel="2">
      <c r="A286" s="416">
        <f>D$53</f>
        <v>2</v>
      </c>
      <c r="B286" s="416">
        <f>B$53</f>
        <v>0.68</v>
      </c>
      <c r="C286" s="411">
        <f>IF(C$281&gt;$A286,$A286-$A285,C$281-SUM(C$284:C285))</f>
        <v>0</v>
      </c>
      <c r="D286" s="416">
        <f>IF(D$281&gt;$A286,$A286-$A285,D$281-SUM(D$284:D285))</f>
        <v>0</v>
      </c>
      <c r="E286" s="416">
        <f>IF(E$281&gt;$A286,$A286-$A285,E$281-SUM(E$284:E285))</f>
        <v>1</v>
      </c>
      <c r="F286" s="416">
        <f>IF(F$281&gt;$A286,$A286-$A285,F$281-SUM(F$284:F285))</f>
        <v>1</v>
      </c>
      <c r="G286" s="416">
        <f>IF(G$281&gt;$A286,$A286-$A285,G$281-SUM(G$284:G285))</f>
        <v>1</v>
      </c>
      <c r="H286" s="416">
        <f>IF(H$281&gt;$A286,$A286-$A285,H$281-SUM(H$284:H285))</f>
        <v>1</v>
      </c>
      <c r="I286" s="416">
        <f>IF(I$281&gt;$A286,$A286-$A285,I$281-SUM(I$284:I285))</f>
        <v>1</v>
      </c>
      <c r="J286" s="416">
        <f>IF(J$281&gt;$A286,$A286-$A285,J$281-SUM(J$284:J285))</f>
        <v>1</v>
      </c>
      <c r="K286" s="416">
        <f>IF(K$281&gt;$A286,$A286-$A285,K$281-SUM(K$284:K285))</f>
        <v>1</v>
      </c>
      <c r="L286" s="416">
        <f>IF(L$281&gt;$A286,$A286-$A285,L$281-SUM(L$284:L285))</f>
        <v>1</v>
      </c>
      <c r="M286" s="283"/>
      <c r="N286" s="405">
        <f t="shared" si="91"/>
        <v>0</v>
      </c>
      <c r="O286" s="95">
        <f t="shared" si="91"/>
        <v>0</v>
      </c>
      <c r="P286" s="95">
        <f t="shared" si="91"/>
        <v>0.68</v>
      </c>
      <c r="Q286" s="95">
        <f t="shared" si="91"/>
        <v>0.68</v>
      </c>
      <c r="R286" s="95">
        <f t="shared" si="91"/>
        <v>0.68</v>
      </c>
      <c r="S286" s="95">
        <f t="shared" si="91"/>
        <v>0.68</v>
      </c>
      <c r="T286" s="95">
        <f t="shared" si="91"/>
        <v>0.68</v>
      </c>
      <c r="U286" s="95">
        <f t="shared" si="91"/>
        <v>0.68</v>
      </c>
      <c r="V286" s="95">
        <f t="shared" si="91"/>
        <v>0.68</v>
      </c>
      <c r="W286" s="95">
        <f t="shared" si="91"/>
        <v>0.68</v>
      </c>
      <c r="X286" s="283"/>
    </row>
    <row r="287" spans="1:24" s="8" customFormat="1" outlineLevel="2">
      <c r="A287" s="416">
        <f>D$54</f>
        <v>5</v>
      </c>
      <c r="B287" s="416">
        <f>B$54</f>
        <v>0.45</v>
      </c>
      <c r="C287" s="411">
        <f>IF(C$281&gt;$A287,$A287-$A286,C$281-SUM(C$284:C286))</f>
        <v>0</v>
      </c>
      <c r="D287" s="416">
        <f>IF(D$281&gt;$A287,$A287-$A286,D$281-SUM(D$284:D286))</f>
        <v>0</v>
      </c>
      <c r="E287" s="416">
        <f>IF(E$281&gt;$A287,$A287-$A286,E$281-SUM(E$284:E286))</f>
        <v>0.16999999999999993</v>
      </c>
      <c r="F287" s="416">
        <f>IF(F$281&gt;$A287,$A287-$A286,F$281-SUM(F$284:F286))</f>
        <v>3</v>
      </c>
      <c r="G287" s="416">
        <f>IF(G$281&gt;$A287,$A287-$A286,G$281-SUM(G$284:G286))</f>
        <v>3</v>
      </c>
      <c r="H287" s="416">
        <f>IF(H$281&gt;$A287,$A287-$A286,H$281-SUM(H$284:H286))</f>
        <v>3</v>
      </c>
      <c r="I287" s="416">
        <f>IF(I$281&gt;$A287,$A287-$A286,I$281-SUM(I$284:I286))</f>
        <v>3</v>
      </c>
      <c r="J287" s="416">
        <f>IF(J$281&gt;$A287,$A287-$A286,J$281-SUM(J$284:J286))</f>
        <v>3</v>
      </c>
      <c r="K287" s="416">
        <f>IF(K$281&gt;$A287,$A287-$A286,K$281-SUM(K$284:K286))</f>
        <v>3</v>
      </c>
      <c r="L287" s="416">
        <f>IF(L$281&gt;$A287,$A287-$A286,L$281-SUM(L$284:L286))</f>
        <v>3</v>
      </c>
      <c r="M287" s="283"/>
      <c r="N287" s="405">
        <f t="shared" si="91"/>
        <v>0</v>
      </c>
      <c r="O287" s="95">
        <f t="shared" si="91"/>
        <v>0</v>
      </c>
      <c r="P287" s="95">
        <f t="shared" si="91"/>
        <v>7.6499999999999971E-2</v>
      </c>
      <c r="Q287" s="95">
        <f t="shared" si="91"/>
        <v>1.35</v>
      </c>
      <c r="R287" s="95">
        <f t="shared" si="91"/>
        <v>1.35</v>
      </c>
      <c r="S287" s="95">
        <f t="shared" si="91"/>
        <v>1.35</v>
      </c>
      <c r="T287" s="95">
        <f t="shared" si="91"/>
        <v>1.35</v>
      </c>
      <c r="U287" s="95">
        <f t="shared" si="91"/>
        <v>1.35</v>
      </c>
      <c r="V287" s="95">
        <f t="shared" si="91"/>
        <v>1.35</v>
      </c>
      <c r="W287" s="95">
        <f t="shared" si="91"/>
        <v>1.35</v>
      </c>
      <c r="X287" s="283"/>
    </row>
    <row r="288" spans="1:24" s="8" customFormat="1" outlineLevel="2">
      <c r="A288" s="416">
        <f>D$55</f>
        <v>10</v>
      </c>
      <c r="B288" s="416">
        <f>B$55</f>
        <v>0.42</v>
      </c>
      <c r="C288" s="411">
        <f>IF(C$281&gt;$A288,$A288-$A287,C$281-SUM(C$284:C287))</f>
        <v>0</v>
      </c>
      <c r="D288" s="416">
        <f>IF(D$281&gt;$A288,$A288-$A287,D$281-SUM(D$284:D287))</f>
        <v>0</v>
      </c>
      <c r="E288" s="416">
        <f>IF(E$281&gt;$A288,$A288-$A287,E$281-SUM(E$284:E287))</f>
        <v>0</v>
      </c>
      <c r="F288" s="416">
        <f>IF(F$281&gt;$A288,$A288-$A287,F$281-SUM(F$284:F287))</f>
        <v>0</v>
      </c>
      <c r="G288" s="416">
        <f>IF(G$281&gt;$A288,$A288-$A287,G$281-SUM(G$284:G287))</f>
        <v>5</v>
      </c>
      <c r="H288" s="416">
        <f>IF(H$281&gt;$A288,$A288-$A287,H$281-SUM(H$284:H287))</f>
        <v>5</v>
      </c>
      <c r="I288" s="416">
        <f>IF(I$281&gt;$A288,$A288-$A287,I$281-SUM(I$284:I287))</f>
        <v>5</v>
      </c>
      <c r="J288" s="416">
        <f>IF(J$281&gt;$A288,$A288-$A287,J$281-SUM(J$284:J287))</f>
        <v>5</v>
      </c>
      <c r="K288" s="416">
        <f>IF(K$281&gt;$A288,$A288-$A287,K$281-SUM(K$284:K287))</f>
        <v>5</v>
      </c>
      <c r="L288" s="416">
        <f>IF(L$281&gt;$A288,$A288-$A287,L$281-SUM(L$284:L287))</f>
        <v>5</v>
      </c>
      <c r="M288" s="283"/>
      <c r="N288" s="405">
        <f t="shared" si="91"/>
        <v>0</v>
      </c>
      <c r="O288" s="95">
        <f t="shared" si="91"/>
        <v>0</v>
      </c>
      <c r="P288" s="95">
        <f t="shared" si="91"/>
        <v>0</v>
      </c>
      <c r="Q288" s="95">
        <f t="shared" si="91"/>
        <v>0</v>
      </c>
      <c r="R288" s="95">
        <f t="shared" si="91"/>
        <v>2.1</v>
      </c>
      <c r="S288" s="95">
        <f t="shared" si="91"/>
        <v>2.1</v>
      </c>
      <c r="T288" s="95">
        <f t="shared" si="91"/>
        <v>2.1</v>
      </c>
      <c r="U288" s="95">
        <f t="shared" si="91"/>
        <v>2.1</v>
      </c>
      <c r="V288" s="95">
        <f t="shared" si="91"/>
        <v>2.1</v>
      </c>
      <c r="W288" s="95">
        <f t="shared" si="91"/>
        <v>2.1</v>
      </c>
      <c r="X288" s="283"/>
    </row>
    <row r="289" spans="1:24" s="8" customFormat="1" outlineLevel="2">
      <c r="A289" s="416">
        <f>D$56</f>
        <v>20</v>
      </c>
      <c r="B289" s="416">
        <f>B$56</f>
        <v>0.22</v>
      </c>
      <c r="C289" s="411">
        <f>IF(C$281&gt;$A289,$A289-$A288,C$281-SUM(C$284:C288))</f>
        <v>0</v>
      </c>
      <c r="D289" s="416">
        <f>IF(D$281&gt;$A289,$A289-$A288,D$281-SUM(D$284:D288))</f>
        <v>0</v>
      </c>
      <c r="E289" s="416">
        <f>IF(E$281&gt;$A289,$A289-$A288,E$281-SUM(E$284:E288))</f>
        <v>0</v>
      </c>
      <c r="F289" s="416">
        <f>IF(F$281&gt;$A289,$A289-$A288,F$281-SUM(F$284:F288))</f>
        <v>0</v>
      </c>
      <c r="G289" s="416">
        <f>IF(G$281&gt;$A289,$A289-$A288,G$281-SUM(G$284:G288))</f>
        <v>0.69999999999999929</v>
      </c>
      <c r="H289" s="416">
        <f>IF(H$281&gt;$A289,$A289-$A288,H$281-SUM(H$284:H288))</f>
        <v>10</v>
      </c>
      <c r="I289" s="416">
        <f>IF(I$281&gt;$A289,$A289-$A288,I$281-SUM(I$284:I288))</f>
        <v>10</v>
      </c>
      <c r="J289" s="416">
        <f>IF(J$281&gt;$A289,$A289-$A288,J$281-SUM(J$284:J288))</f>
        <v>10</v>
      </c>
      <c r="K289" s="416">
        <f>IF(K$281&gt;$A289,$A289-$A288,K$281-SUM(K$284:K288))</f>
        <v>10</v>
      </c>
      <c r="L289" s="416">
        <f>IF(L$281&gt;$A289,$A289-$A288,L$281-SUM(L$284:L288))</f>
        <v>8</v>
      </c>
      <c r="M289" s="283"/>
      <c r="N289" s="405">
        <f t="shared" si="91"/>
        <v>0</v>
      </c>
      <c r="O289" s="95">
        <f t="shared" si="91"/>
        <v>0</v>
      </c>
      <c r="P289" s="95">
        <f t="shared" si="91"/>
        <v>0</v>
      </c>
      <c r="Q289" s="95">
        <f t="shared" si="91"/>
        <v>0</v>
      </c>
      <c r="R289" s="95">
        <f t="shared" si="91"/>
        <v>0.15399999999999983</v>
      </c>
      <c r="S289" s="95">
        <f t="shared" si="91"/>
        <v>2.2000000000000002</v>
      </c>
      <c r="T289" s="95">
        <f t="shared" si="91"/>
        <v>2.2000000000000002</v>
      </c>
      <c r="U289" s="95">
        <f t="shared" si="91"/>
        <v>2.2000000000000002</v>
      </c>
      <c r="V289" s="95">
        <f t="shared" si="91"/>
        <v>2.2000000000000002</v>
      </c>
      <c r="W289" s="95">
        <f t="shared" si="91"/>
        <v>1.76</v>
      </c>
      <c r="X289" s="283"/>
    </row>
    <row r="290" spans="1:24" s="8" customFormat="1" outlineLevel="2">
      <c r="A290" s="416">
        <f>D$57</f>
        <v>50</v>
      </c>
      <c r="B290" s="416">
        <f>B$57</f>
        <v>0.2</v>
      </c>
      <c r="C290" s="411">
        <f>IF(C$281&gt;$A290,$A290-$A289,C$281-SUM(C$284:C289))</f>
        <v>0</v>
      </c>
      <c r="D290" s="416">
        <f>IF(D$281&gt;$A290,$A290-$A289,D$281-SUM(D$284:D289))</f>
        <v>0</v>
      </c>
      <c r="E290" s="416">
        <f>IF(E$281&gt;$A290,$A290-$A289,E$281-SUM(E$284:E289))</f>
        <v>0</v>
      </c>
      <c r="F290" s="416">
        <f>IF(F$281&gt;$A290,$A290-$A289,F$281-SUM(F$284:F289))</f>
        <v>0</v>
      </c>
      <c r="G290" s="416">
        <f>IF(G$281&gt;$A290,$A290-$A289,G$281-SUM(G$284:G289))</f>
        <v>0</v>
      </c>
      <c r="H290" s="416">
        <f>IF(H$281&gt;$A290,$A290-$A289,H$281-SUM(H$284:H289))</f>
        <v>0.10000000000000142</v>
      </c>
      <c r="I290" s="416">
        <f>IF(I$281&gt;$A290,$A290-$A289,I$281-SUM(I$284:I289))</f>
        <v>10</v>
      </c>
      <c r="J290" s="416">
        <f>IF(J$281&gt;$A290,$A290-$A289,J$281-SUM(J$284:J289))</f>
        <v>23</v>
      </c>
      <c r="K290" s="416">
        <f>IF(K$281&gt;$A290,$A290-$A289,K$281-SUM(K$284:K289))</f>
        <v>7</v>
      </c>
      <c r="L290" s="416">
        <f>IF(L$281&gt;$A290,$A290-$A289,L$281-SUM(L$284:L289))</f>
        <v>0</v>
      </c>
      <c r="M290" s="283"/>
      <c r="N290" s="405">
        <f t="shared" si="91"/>
        <v>0</v>
      </c>
      <c r="O290" s="95">
        <f t="shared" si="91"/>
        <v>0</v>
      </c>
      <c r="P290" s="95">
        <f t="shared" si="91"/>
        <v>0</v>
      </c>
      <c r="Q290" s="95">
        <f t="shared" si="91"/>
        <v>0</v>
      </c>
      <c r="R290" s="95">
        <f t="shared" si="91"/>
        <v>0</v>
      </c>
      <c r="S290" s="95">
        <f t="shared" si="91"/>
        <v>2.0000000000000285E-2</v>
      </c>
      <c r="T290" s="95">
        <f t="shared" si="91"/>
        <v>2</v>
      </c>
      <c r="U290" s="95">
        <f t="shared" si="91"/>
        <v>4.6000000000000005</v>
      </c>
      <c r="V290" s="95">
        <f t="shared" si="91"/>
        <v>1.4000000000000001</v>
      </c>
      <c r="W290" s="95">
        <f t="shared" si="91"/>
        <v>0</v>
      </c>
      <c r="X290" s="283"/>
    </row>
    <row r="291" spans="1:24" s="8" customFormat="1" outlineLevel="2">
      <c r="A291" s="416">
        <f>D$58</f>
        <v>75</v>
      </c>
      <c r="B291" s="416">
        <f>B$58</f>
        <v>0.15</v>
      </c>
      <c r="C291" s="411">
        <f>IF(C$281&gt;$A291,$A291-$A290,C$281-SUM(C$284:C290))</f>
        <v>0</v>
      </c>
      <c r="D291" s="416">
        <f>IF(D$281&gt;$A291,$A291-$A290,D$281-SUM(D$284:D290))</f>
        <v>0</v>
      </c>
      <c r="E291" s="416">
        <f>IF(E$281&gt;$A291,$A291-$A290,E$281-SUM(E$284:E290))</f>
        <v>0</v>
      </c>
      <c r="F291" s="416">
        <f>IF(F$281&gt;$A291,$A291-$A290,F$281-SUM(F$284:F290))</f>
        <v>0</v>
      </c>
      <c r="G291" s="416">
        <f>IF(G$281&gt;$A291,$A291-$A290,G$281-SUM(G$284:G290))</f>
        <v>0</v>
      </c>
      <c r="H291" s="416">
        <f>IF(H$281&gt;$A291,$A291-$A290,H$281-SUM(H$284:H290))</f>
        <v>0</v>
      </c>
      <c r="I291" s="416">
        <f>IF(I$281&gt;$A291,$A291-$A290,I$281-SUM(I$284:I290))</f>
        <v>0</v>
      </c>
      <c r="J291" s="416">
        <f>IF(J$281&gt;$A291,$A291-$A290,J$281-SUM(J$284:J290))</f>
        <v>0</v>
      </c>
      <c r="K291" s="416">
        <f>IF(K$281&gt;$A291,$A291-$A290,K$281-SUM(K$284:K290))</f>
        <v>0</v>
      </c>
      <c r="L291" s="416">
        <f>IF(L$281&gt;$A291,$A291-$A290,L$281-SUM(L$284:L290))</f>
        <v>0</v>
      </c>
      <c r="M291" s="283"/>
      <c r="N291" s="405">
        <f t="shared" si="91"/>
        <v>0</v>
      </c>
      <c r="O291" s="95">
        <f t="shared" si="91"/>
        <v>0</v>
      </c>
      <c r="P291" s="95">
        <f t="shared" si="91"/>
        <v>0</v>
      </c>
      <c r="Q291" s="95">
        <f t="shared" si="91"/>
        <v>0</v>
      </c>
      <c r="R291" s="95">
        <f t="shared" si="91"/>
        <v>0</v>
      </c>
      <c r="S291" s="95">
        <f t="shared" si="91"/>
        <v>0</v>
      </c>
      <c r="T291" s="95">
        <f t="shared" si="91"/>
        <v>0</v>
      </c>
      <c r="U291" s="95">
        <f t="shared" si="91"/>
        <v>0</v>
      </c>
      <c r="V291" s="95">
        <f t="shared" si="91"/>
        <v>0</v>
      </c>
      <c r="W291" s="95">
        <f t="shared" si="91"/>
        <v>0</v>
      </c>
      <c r="X291" s="283"/>
    </row>
    <row r="292" spans="1:24" s="8" customFormat="1" outlineLevel="2">
      <c r="A292" s="416">
        <f>D$59</f>
        <v>9999</v>
      </c>
      <c r="B292" s="416">
        <f>B$59</f>
        <v>0.1</v>
      </c>
      <c r="C292" s="411">
        <f>IF(C$281&gt;$A292,$A292-$A291,C$281-SUM(C$284:C291))</f>
        <v>0</v>
      </c>
      <c r="D292" s="416">
        <f>IF(D$281&gt;$A292,$A292-$A291,D$281-SUM(D$284:D291))</f>
        <v>0</v>
      </c>
      <c r="E292" s="416">
        <f>IF(E$281&gt;$A292,$A292-$A291,E$281-SUM(E$284:E291))</f>
        <v>0</v>
      </c>
      <c r="F292" s="416">
        <f>IF(F$281&gt;$A292,$A292-$A291,F$281-SUM(F$284:F291))</f>
        <v>0</v>
      </c>
      <c r="G292" s="416">
        <f>IF(G$281&gt;$A292,$A292-$A291,G$281-SUM(G$284:G291))</f>
        <v>0</v>
      </c>
      <c r="H292" s="416">
        <f>IF(H$281&gt;$A292,$A292-$A291,H$281-SUM(H$284:H291))</f>
        <v>0</v>
      </c>
      <c r="I292" s="416">
        <f>IF(I$281&gt;$A292,$A292-$A291,I$281-SUM(I$284:I291))</f>
        <v>0</v>
      </c>
      <c r="J292" s="416">
        <f>IF(J$281&gt;$A292,$A292-$A291,J$281-SUM(J$284:J291))</f>
        <v>0</v>
      </c>
      <c r="K292" s="416">
        <f>IF(K$281&gt;$A292,$A292-$A291,K$281-SUM(K$284:K291))</f>
        <v>0</v>
      </c>
      <c r="L292" s="416">
        <f>IF(L$281&gt;$A292,$A292-$A291,L$281-SUM(L$284:L291))</f>
        <v>0</v>
      </c>
      <c r="M292" s="283"/>
      <c r="N292" s="405">
        <f t="shared" si="91"/>
        <v>0</v>
      </c>
      <c r="O292" s="95">
        <f t="shared" si="91"/>
        <v>0</v>
      </c>
      <c r="P292" s="95">
        <f t="shared" si="91"/>
        <v>0</v>
      </c>
      <c r="Q292" s="95">
        <f t="shared" si="91"/>
        <v>0</v>
      </c>
      <c r="R292" s="95">
        <f t="shared" si="91"/>
        <v>0</v>
      </c>
      <c r="S292" s="95">
        <f t="shared" si="91"/>
        <v>0</v>
      </c>
      <c r="T292" s="95">
        <f t="shared" si="91"/>
        <v>0</v>
      </c>
      <c r="U292" s="95">
        <f t="shared" si="91"/>
        <v>0</v>
      </c>
      <c r="V292" s="95">
        <f t="shared" si="91"/>
        <v>0</v>
      </c>
      <c r="W292" s="95">
        <f t="shared" si="91"/>
        <v>0</v>
      </c>
      <c r="X292" s="283"/>
    </row>
    <row r="293" spans="1:24" s="8" customFormat="1" outlineLevel="1">
      <c r="A293" s="404"/>
      <c r="B293" s="417" t="str">
        <f>CONCATENATE(B280," Total")</f>
        <v>Coolpad Total</v>
      </c>
      <c r="C293" s="418">
        <f>SUM(C284:C292)</f>
        <v>0</v>
      </c>
      <c r="D293" s="419">
        <f t="shared" ref="D293:L293" si="92">SUM(D284:D292)</f>
        <v>0</v>
      </c>
      <c r="E293" s="419">
        <f t="shared" si="92"/>
        <v>2.17</v>
      </c>
      <c r="F293" s="419">
        <f t="shared" si="92"/>
        <v>5</v>
      </c>
      <c r="G293" s="419">
        <f t="shared" si="92"/>
        <v>10.7</v>
      </c>
      <c r="H293" s="419">
        <f t="shared" si="92"/>
        <v>20.100000000000001</v>
      </c>
      <c r="I293" s="419">
        <f t="shared" si="92"/>
        <v>30</v>
      </c>
      <c r="J293" s="419">
        <f t="shared" si="92"/>
        <v>43</v>
      </c>
      <c r="K293" s="419">
        <f t="shared" si="92"/>
        <v>27</v>
      </c>
      <c r="L293" s="419">
        <f t="shared" si="92"/>
        <v>18</v>
      </c>
      <c r="M293" s="283"/>
      <c r="N293" s="420">
        <f>SUM(N284:N292)</f>
        <v>0</v>
      </c>
      <c r="O293" s="420">
        <f t="shared" ref="O293:W293" si="93">SUM(O284:O292)</f>
        <v>0</v>
      </c>
      <c r="P293" s="420">
        <f t="shared" si="93"/>
        <v>1.6365000000000001</v>
      </c>
      <c r="Q293" s="420">
        <f t="shared" si="93"/>
        <v>2.91</v>
      </c>
      <c r="R293" s="420">
        <f t="shared" si="93"/>
        <v>5.1639999999999997</v>
      </c>
      <c r="S293" s="420">
        <f t="shared" si="93"/>
        <v>7.23</v>
      </c>
      <c r="T293" s="420">
        <f t="shared" si="93"/>
        <v>9.2100000000000009</v>
      </c>
      <c r="U293" s="420">
        <f t="shared" si="93"/>
        <v>11.81</v>
      </c>
      <c r="V293" s="420">
        <f t="shared" si="93"/>
        <v>8.61</v>
      </c>
      <c r="W293" s="420">
        <f t="shared" si="93"/>
        <v>6.77</v>
      </c>
      <c r="X293" s="283"/>
    </row>
    <row r="294" spans="1:24" s="8" customFormat="1" outlineLevel="1">
      <c r="B294" s="421" t="s">
        <v>778</v>
      </c>
      <c r="C294" s="422">
        <f t="shared" ref="C294:L294" si="94">C293-C281</f>
        <v>0</v>
      </c>
      <c r="D294" s="423">
        <f t="shared" si="94"/>
        <v>0</v>
      </c>
      <c r="E294" s="423">
        <f t="shared" si="94"/>
        <v>0</v>
      </c>
      <c r="F294" s="423">
        <f t="shared" si="94"/>
        <v>0</v>
      </c>
      <c r="G294" s="423">
        <f t="shared" si="94"/>
        <v>0</v>
      </c>
      <c r="H294" s="423">
        <f t="shared" si="94"/>
        <v>0</v>
      </c>
      <c r="I294" s="423">
        <f t="shared" si="94"/>
        <v>0</v>
      </c>
      <c r="J294" s="423">
        <f t="shared" si="94"/>
        <v>0</v>
      </c>
      <c r="K294" s="423">
        <f t="shared" si="94"/>
        <v>0</v>
      </c>
      <c r="L294" s="423">
        <f t="shared" si="94"/>
        <v>0</v>
      </c>
      <c r="M294" s="283"/>
      <c r="N294" s="283"/>
      <c r="O294" s="283"/>
      <c r="P294" s="283"/>
      <c r="Q294" s="283"/>
      <c r="R294" s="283"/>
      <c r="S294" s="283"/>
      <c r="T294" s="283"/>
      <c r="U294" s="283"/>
      <c r="V294" s="283"/>
      <c r="W294" s="283"/>
      <c r="X294" s="283"/>
    </row>
    <row r="295" spans="1:24" s="8" customFormat="1" outlineLevel="1">
      <c r="C295" s="283"/>
      <c r="M295" s="283"/>
      <c r="X295" s="283"/>
    </row>
    <row r="296" spans="1:24" s="8" customFormat="1" outlineLevel="1" collapsed="1">
      <c r="A296" s="8">
        <f>A280+1</f>
        <v>8</v>
      </c>
      <c r="B296" s="424" t="str">
        <f>A147</f>
        <v>Fujitsu</v>
      </c>
      <c r="C296" s="80">
        <v>2007</v>
      </c>
      <c r="D296" s="66">
        <f>C296+1</f>
        <v>2008</v>
      </c>
      <c r="E296" s="66">
        <f t="shared" ref="E296:L296" si="95">D296+1</f>
        <v>2009</v>
      </c>
      <c r="F296" s="66">
        <f t="shared" si="95"/>
        <v>2010</v>
      </c>
      <c r="G296" s="66">
        <f t="shared" si="95"/>
        <v>2011</v>
      </c>
      <c r="H296" s="66">
        <f t="shared" si="95"/>
        <v>2012</v>
      </c>
      <c r="I296" s="66">
        <f t="shared" si="95"/>
        <v>2013</v>
      </c>
      <c r="J296" s="66">
        <f t="shared" si="95"/>
        <v>2014</v>
      </c>
      <c r="K296" s="66">
        <f t="shared" si="95"/>
        <v>2015</v>
      </c>
      <c r="L296" s="66">
        <f t="shared" si="95"/>
        <v>2016</v>
      </c>
      <c r="M296" s="283"/>
      <c r="N296" s="168">
        <f t="shared" ref="N296:W296" si="96">C296</f>
        <v>2007</v>
      </c>
      <c r="O296" s="66">
        <f t="shared" si="96"/>
        <v>2008</v>
      </c>
      <c r="P296" s="66">
        <f t="shared" si="96"/>
        <v>2009</v>
      </c>
      <c r="Q296" s="66">
        <f t="shared" si="96"/>
        <v>2010</v>
      </c>
      <c r="R296" s="66">
        <f t="shared" si="96"/>
        <v>2011</v>
      </c>
      <c r="S296" s="66">
        <f t="shared" si="96"/>
        <v>2012</v>
      </c>
      <c r="T296" s="66">
        <f t="shared" si="96"/>
        <v>2013</v>
      </c>
      <c r="U296" s="66">
        <f t="shared" si="96"/>
        <v>2014</v>
      </c>
      <c r="V296" s="66">
        <f t="shared" si="96"/>
        <v>2015</v>
      </c>
      <c r="W296" s="66">
        <f t="shared" si="96"/>
        <v>2016</v>
      </c>
      <c r="X296" s="283"/>
    </row>
    <row r="297" spans="1:24" s="8" customFormat="1" outlineLevel="2">
      <c r="B297" s="8" t="s">
        <v>1348</v>
      </c>
      <c r="C297" s="411">
        <f t="shared" ref="C297:L297" si="97">VLOOKUP($B296,$A$140:$K$175,C$183+1,FALSE)</f>
        <v>4.9000000000000004</v>
      </c>
      <c r="D297" s="412">
        <f t="shared" si="97"/>
        <v>5.7</v>
      </c>
      <c r="E297" s="412">
        <f t="shared" si="97"/>
        <v>5.1000000000000005</v>
      </c>
      <c r="F297" s="412">
        <f t="shared" si="97"/>
        <v>11.86</v>
      </c>
      <c r="G297" s="412">
        <f t="shared" si="97"/>
        <v>14.04</v>
      </c>
      <c r="H297" s="412">
        <f t="shared" si="97"/>
        <v>12.5</v>
      </c>
      <c r="I297" s="412">
        <f t="shared" si="97"/>
        <v>3.4000000000000004</v>
      </c>
      <c r="J297" s="412">
        <f t="shared" si="97"/>
        <v>3.9999999999999996</v>
      </c>
      <c r="K297" s="412">
        <f t="shared" si="97"/>
        <v>3.4</v>
      </c>
      <c r="L297" s="412">
        <f t="shared" si="97"/>
        <v>3.4</v>
      </c>
      <c r="M297" s="283"/>
      <c r="N297" s="283"/>
      <c r="X297" s="283"/>
    </row>
    <row r="298" spans="1:24" s="8" customFormat="1" outlineLevel="2">
      <c r="C298" s="413"/>
      <c r="D298" s="414"/>
      <c r="E298" s="414"/>
      <c r="F298" s="414"/>
      <c r="G298" s="414"/>
      <c r="H298" s="414"/>
      <c r="I298" s="414"/>
      <c r="J298" s="414"/>
      <c r="K298" s="414"/>
      <c r="L298" s="414"/>
      <c r="M298" s="283"/>
      <c r="N298" s="283"/>
      <c r="X298" s="283"/>
    </row>
    <row r="299" spans="1:24" s="8" customFormat="1" outlineLevel="2">
      <c r="A299" s="66" t="s">
        <v>1349</v>
      </c>
      <c r="B299" s="66" t="s">
        <v>1350</v>
      </c>
      <c r="C299" s="415"/>
      <c r="F299" s="9"/>
      <c r="M299" s="283"/>
      <c r="N299" s="283"/>
      <c r="X299" s="283"/>
    </row>
    <row r="300" spans="1:24" s="8" customFormat="1" outlineLevel="2">
      <c r="A300" s="416">
        <f>D$51</f>
        <v>0.5</v>
      </c>
      <c r="B300" s="416">
        <f>B$51</f>
        <v>0.98</v>
      </c>
      <c r="C300" s="411">
        <f>IF(C$297&gt;$A300,$A300,C$297)</f>
        <v>0.5</v>
      </c>
      <c r="D300" s="416">
        <f t="shared" ref="D300:L300" si="98">IF(D$297&gt;$A300,$A300,D$297)</f>
        <v>0.5</v>
      </c>
      <c r="E300" s="416">
        <f t="shared" si="98"/>
        <v>0.5</v>
      </c>
      <c r="F300" s="416">
        <f t="shared" si="98"/>
        <v>0.5</v>
      </c>
      <c r="G300" s="416">
        <f t="shared" si="98"/>
        <v>0.5</v>
      </c>
      <c r="H300" s="416">
        <f t="shared" si="98"/>
        <v>0.5</v>
      </c>
      <c r="I300" s="416">
        <f t="shared" si="98"/>
        <v>0.5</v>
      </c>
      <c r="J300" s="416">
        <f t="shared" si="98"/>
        <v>0.5</v>
      </c>
      <c r="K300" s="416">
        <f t="shared" si="98"/>
        <v>0.5</v>
      </c>
      <c r="L300" s="416">
        <f t="shared" si="98"/>
        <v>0.5</v>
      </c>
      <c r="M300" s="283"/>
      <c r="N300" s="405">
        <f t="shared" ref="N300:W308" si="99">C300*$B300</f>
        <v>0.49</v>
      </c>
      <c r="O300" s="95">
        <f t="shared" si="99"/>
        <v>0.49</v>
      </c>
      <c r="P300" s="95">
        <f t="shared" si="99"/>
        <v>0.49</v>
      </c>
      <c r="Q300" s="95">
        <f t="shared" si="99"/>
        <v>0.49</v>
      </c>
      <c r="R300" s="95">
        <f t="shared" si="99"/>
        <v>0.49</v>
      </c>
      <c r="S300" s="95">
        <f t="shared" si="99"/>
        <v>0.49</v>
      </c>
      <c r="T300" s="95">
        <f t="shared" si="99"/>
        <v>0.49</v>
      </c>
      <c r="U300" s="95">
        <f t="shared" si="99"/>
        <v>0.49</v>
      </c>
      <c r="V300" s="95">
        <f t="shared" si="99"/>
        <v>0.49</v>
      </c>
      <c r="W300" s="95">
        <f t="shared" si="99"/>
        <v>0.49</v>
      </c>
      <c r="X300" s="283"/>
    </row>
    <row r="301" spans="1:24" s="8" customFormat="1" outlineLevel="2">
      <c r="A301" s="416">
        <f>D$52</f>
        <v>1</v>
      </c>
      <c r="B301" s="416">
        <f>B$52</f>
        <v>0.78</v>
      </c>
      <c r="C301" s="411">
        <f>IF(C$297&gt;$A301,$A301-$A300,C$297-SUM(C300:C$300))</f>
        <v>0.5</v>
      </c>
      <c r="D301" s="416">
        <f>IF(D$297&gt;$A301,$A301-$A300,D$297-SUM(D300:D$300))</f>
        <v>0.5</v>
      </c>
      <c r="E301" s="416">
        <f>IF(E$297&gt;$A301,$A301-$A300,E$297-SUM(E300:E$300))</f>
        <v>0.5</v>
      </c>
      <c r="F301" s="416">
        <f>IF(F$297&gt;$A301,$A301-$A300,F$297-SUM(F300:F$300))</f>
        <v>0.5</v>
      </c>
      <c r="G301" s="416">
        <f>IF(G$297&gt;$A301,$A301-$A300,G$297-SUM(G300:G$300))</f>
        <v>0.5</v>
      </c>
      <c r="H301" s="416">
        <f>IF(H$297&gt;$A301,$A301-$A300,H$297-SUM(H300:H$300))</f>
        <v>0.5</v>
      </c>
      <c r="I301" s="416">
        <f>IF(I$297&gt;$A301,$A301-$A300,I$297-SUM(I300:I$300))</f>
        <v>0.5</v>
      </c>
      <c r="J301" s="416">
        <f>IF(J$297&gt;$A301,$A301-$A300,J$297-SUM(J300:J$300))</f>
        <v>0.5</v>
      </c>
      <c r="K301" s="416">
        <f>IF(K$297&gt;$A301,$A301-$A300,K$297-SUM(K300:K$300))</f>
        <v>0.5</v>
      </c>
      <c r="L301" s="416">
        <f>IF(L$297&gt;$A301,$A301-$A300,L$297-SUM(L300:L$300))</f>
        <v>0.5</v>
      </c>
      <c r="M301" s="283"/>
      <c r="N301" s="405">
        <f t="shared" si="99"/>
        <v>0.39</v>
      </c>
      <c r="O301" s="95">
        <f t="shared" si="99"/>
        <v>0.39</v>
      </c>
      <c r="P301" s="95">
        <f t="shared" si="99"/>
        <v>0.39</v>
      </c>
      <c r="Q301" s="95">
        <f t="shared" si="99"/>
        <v>0.39</v>
      </c>
      <c r="R301" s="95">
        <f t="shared" si="99"/>
        <v>0.39</v>
      </c>
      <c r="S301" s="95">
        <f t="shared" si="99"/>
        <v>0.39</v>
      </c>
      <c r="T301" s="95">
        <f t="shared" si="99"/>
        <v>0.39</v>
      </c>
      <c r="U301" s="95">
        <f t="shared" si="99"/>
        <v>0.39</v>
      </c>
      <c r="V301" s="95">
        <f t="shared" si="99"/>
        <v>0.39</v>
      </c>
      <c r="W301" s="95">
        <f t="shared" si="99"/>
        <v>0.39</v>
      </c>
      <c r="X301" s="283"/>
    </row>
    <row r="302" spans="1:24" s="8" customFormat="1" outlineLevel="2">
      <c r="A302" s="416">
        <f>D$53</f>
        <v>2</v>
      </c>
      <c r="B302" s="416">
        <f>B$53</f>
        <v>0.68</v>
      </c>
      <c r="C302" s="411">
        <f>IF(C$297&gt;$A302,$A302-$A301,C$297-SUM(C$300:C301))</f>
        <v>1</v>
      </c>
      <c r="D302" s="416">
        <f>IF(D$297&gt;$A302,$A302-$A301,D$297-SUM(D$300:D301))</f>
        <v>1</v>
      </c>
      <c r="E302" s="416">
        <f>IF(E$297&gt;$A302,$A302-$A301,E$297-SUM(E$300:E301))</f>
        <v>1</v>
      </c>
      <c r="F302" s="416">
        <f>IF(F$297&gt;$A302,$A302-$A301,F$297-SUM(F$300:F301))</f>
        <v>1</v>
      </c>
      <c r="G302" s="416">
        <f>IF(G$297&gt;$A302,$A302-$A301,G$297-SUM(G$300:G301))</f>
        <v>1</v>
      </c>
      <c r="H302" s="416">
        <f>IF(H$297&gt;$A302,$A302-$A301,H$297-SUM(H$300:H301))</f>
        <v>1</v>
      </c>
      <c r="I302" s="416">
        <f>IF(I$297&gt;$A302,$A302-$A301,I$297-SUM(I$300:I301))</f>
        <v>1</v>
      </c>
      <c r="J302" s="416">
        <f>IF(J$297&gt;$A302,$A302-$A301,J$297-SUM(J$300:J301))</f>
        <v>1</v>
      </c>
      <c r="K302" s="416">
        <f>IF(K$297&gt;$A302,$A302-$A301,K$297-SUM(K$300:K301))</f>
        <v>1</v>
      </c>
      <c r="L302" s="416">
        <f>IF(L$297&gt;$A302,$A302-$A301,L$297-SUM(L$300:L301))</f>
        <v>1</v>
      </c>
      <c r="M302" s="283"/>
      <c r="N302" s="405">
        <f t="shared" si="99"/>
        <v>0.68</v>
      </c>
      <c r="O302" s="95">
        <f t="shared" si="99"/>
        <v>0.68</v>
      </c>
      <c r="P302" s="95">
        <f t="shared" si="99"/>
        <v>0.68</v>
      </c>
      <c r="Q302" s="95">
        <f t="shared" si="99"/>
        <v>0.68</v>
      </c>
      <c r="R302" s="95">
        <f t="shared" si="99"/>
        <v>0.68</v>
      </c>
      <c r="S302" s="95">
        <f t="shared" si="99"/>
        <v>0.68</v>
      </c>
      <c r="T302" s="95">
        <f t="shared" si="99"/>
        <v>0.68</v>
      </c>
      <c r="U302" s="95">
        <f t="shared" si="99"/>
        <v>0.68</v>
      </c>
      <c r="V302" s="95">
        <f t="shared" si="99"/>
        <v>0.68</v>
      </c>
      <c r="W302" s="95">
        <f t="shared" si="99"/>
        <v>0.68</v>
      </c>
      <c r="X302" s="283"/>
    </row>
    <row r="303" spans="1:24" s="8" customFormat="1" outlineLevel="2">
      <c r="A303" s="416">
        <f>D$54</f>
        <v>5</v>
      </c>
      <c r="B303" s="416">
        <f>B$54</f>
        <v>0.45</v>
      </c>
      <c r="C303" s="411">
        <f>IF(C$297&gt;$A303,$A303-$A302,C$297-SUM(C$300:C302))</f>
        <v>2.9000000000000004</v>
      </c>
      <c r="D303" s="416">
        <f>IF(D$297&gt;$A303,$A303-$A302,D$297-SUM(D$300:D302))</f>
        <v>3</v>
      </c>
      <c r="E303" s="416">
        <f>IF(E$297&gt;$A303,$A303-$A302,E$297-SUM(E$300:E302))</f>
        <v>3</v>
      </c>
      <c r="F303" s="416">
        <f>IF(F$297&gt;$A303,$A303-$A302,F$297-SUM(F$300:F302))</f>
        <v>3</v>
      </c>
      <c r="G303" s="416">
        <f>IF(G$297&gt;$A303,$A303-$A302,G$297-SUM(G$300:G302))</f>
        <v>3</v>
      </c>
      <c r="H303" s="416">
        <f>IF(H$297&gt;$A303,$A303-$A302,H$297-SUM(H$300:H302))</f>
        <v>3</v>
      </c>
      <c r="I303" s="416">
        <f>IF(I$297&gt;$A303,$A303-$A302,I$297-SUM(I$300:I302))</f>
        <v>1.4000000000000004</v>
      </c>
      <c r="J303" s="416">
        <f>IF(J$297&gt;$A303,$A303-$A302,J$297-SUM(J$300:J302))</f>
        <v>1.9999999999999996</v>
      </c>
      <c r="K303" s="416">
        <f>IF(K$297&gt;$A303,$A303-$A302,K$297-SUM(K$300:K302))</f>
        <v>1.4</v>
      </c>
      <c r="L303" s="416">
        <f>IF(L$297&gt;$A303,$A303-$A302,L$297-SUM(L$300:L302))</f>
        <v>1.4</v>
      </c>
      <c r="M303" s="283"/>
      <c r="N303" s="405">
        <f t="shared" si="99"/>
        <v>1.3050000000000002</v>
      </c>
      <c r="O303" s="95">
        <f t="shared" si="99"/>
        <v>1.35</v>
      </c>
      <c r="P303" s="95">
        <f t="shared" si="99"/>
        <v>1.35</v>
      </c>
      <c r="Q303" s="95">
        <f t="shared" si="99"/>
        <v>1.35</v>
      </c>
      <c r="R303" s="95">
        <f t="shared" si="99"/>
        <v>1.35</v>
      </c>
      <c r="S303" s="95">
        <f t="shared" si="99"/>
        <v>1.35</v>
      </c>
      <c r="T303" s="95">
        <f t="shared" si="99"/>
        <v>0.63000000000000023</v>
      </c>
      <c r="U303" s="95">
        <f t="shared" si="99"/>
        <v>0.8999999999999998</v>
      </c>
      <c r="V303" s="95">
        <f t="shared" si="99"/>
        <v>0.63</v>
      </c>
      <c r="W303" s="95">
        <f t="shared" si="99"/>
        <v>0.63</v>
      </c>
      <c r="X303" s="283"/>
    </row>
    <row r="304" spans="1:24" s="8" customFormat="1" outlineLevel="2">
      <c r="A304" s="416">
        <f>D$55</f>
        <v>10</v>
      </c>
      <c r="B304" s="416">
        <f>B$55</f>
        <v>0.42</v>
      </c>
      <c r="C304" s="411">
        <f>IF(C$297&gt;$A304,$A304-$A303,C$297-SUM(C$300:C303))</f>
        <v>0</v>
      </c>
      <c r="D304" s="416">
        <f>IF(D$297&gt;$A304,$A304-$A303,D$297-SUM(D$300:D303))</f>
        <v>0.70000000000000018</v>
      </c>
      <c r="E304" s="416">
        <f>IF(E$297&gt;$A304,$A304-$A303,E$297-SUM(E$300:E303))</f>
        <v>0.10000000000000053</v>
      </c>
      <c r="F304" s="416">
        <f>IF(F$297&gt;$A304,$A304-$A303,F$297-SUM(F$300:F303))</f>
        <v>5</v>
      </c>
      <c r="G304" s="416">
        <f>IF(G$297&gt;$A304,$A304-$A303,G$297-SUM(G$300:G303))</f>
        <v>5</v>
      </c>
      <c r="H304" s="416">
        <f>IF(H$297&gt;$A304,$A304-$A303,H$297-SUM(H$300:H303))</f>
        <v>5</v>
      </c>
      <c r="I304" s="416">
        <f>IF(I$297&gt;$A304,$A304-$A303,I$297-SUM(I$300:I303))</f>
        <v>0</v>
      </c>
      <c r="J304" s="416">
        <f>IF(J$297&gt;$A304,$A304-$A303,J$297-SUM(J$300:J303))</f>
        <v>0</v>
      </c>
      <c r="K304" s="416">
        <f>IF(K$297&gt;$A304,$A304-$A303,K$297-SUM(K$300:K303))</f>
        <v>0</v>
      </c>
      <c r="L304" s="416">
        <f>IF(L$297&gt;$A304,$A304-$A303,L$297-SUM(L$300:L303))</f>
        <v>0</v>
      </c>
      <c r="M304" s="283"/>
      <c r="N304" s="405">
        <f t="shared" si="99"/>
        <v>0</v>
      </c>
      <c r="O304" s="95">
        <f t="shared" si="99"/>
        <v>0.29400000000000004</v>
      </c>
      <c r="P304" s="95">
        <f t="shared" si="99"/>
        <v>4.2000000000000225E-2</v>
      </c>
      <c r="Q304" s="95">
        <f t="shared" si="99"/>
        <v>2.1</v>
      </c>
      <c r="R304" s="95">
        <f t="shared" si="99"/>
        <v>2.1</v>
      </c>
      <c r="S304" s="95">
        <f t="shared" si="99"/>
        <v>2.1</v>
      </c>
      <c r="T304" s="95">
        <f t="shared" si="99"/>
        <v>0</v>
      </c>
      <c r="U304" s="95">
        <f t="shared" si="99"/>
        <v>0</v>
      </c>
      <c r="V304" s="95">
        <f t="shared" si="99"/>
        <v>0</v>
      </c>
      <c r="W304" s="95">
        <f t="shared" si="99"/>
        <v>0</v>
      </c>
      <c r="X304" s="283"/>
    </row>
    <row r="305" spans="1:24" s="8" customFormat="1" outlineLevel="2">
      <c r="A305" s="416">
        <f>D$56</f>
        <v>20</v>
      </c>
      <c r="B305" s="416">
        <f>B$56</f>
        <v>0.22</v>
      </c>
      <c r="C305" s="411">
        <f>IF(C$297&gt;$A305,$A305-$A304,C$297-SUM(C$300:C304))</f>
        <v>0</v>
      </c>
      <c r="D305" s="416">
        <f>IF(D$297&gt;$A305,$A305-$A304,D$297-SUM(D$300:D304))</f>
        <v>0</v>
      </c>
      <c r="E305" s="416">
        <f>IF(E$297&gt;$A305,$A305-$A304,E$297-SUM(E$300:E304))</f>
        <v>0</v>
      </c>
      <c r="F305" s="416">
        <f>IF(F$297&gt;$A305,$A305-$A304,F$297-SUM(F$300:F304))</f>
        <v>1.8599999999999994</v>
      </c>
      <c r="G305" s="416">
        <f>IF(G$297&gt;$A305,$A305-$A304,G$297-SUM(G$300:G304))</f>
        <v>4.0399999999999991</v>
      </c>
      <c r="H305" s="416">
        <f>IF(H$297&gt;$A305,$A305-$A304,H$297-SUM(H$300:H304))</f>
        <v>2.5</v>
      </c>
      <c r="I305" s="416">
        <f>IF(I$297&gt;$A305,$A305-$A304,I$297-SUM(I$300:I304))</f>
        <v>0</v>
      </c>
      <c r="J305" s="416">
        <f>IF(J$297&gt;$A305,$A305-$A304,J$297-SUM(J$300:J304))</f>
        <v>0</v>
      </c>
      <c r="K305" s="416">
        <f>IF(K$297&gt;$A305,$A305-$A304,K$297-SUM(K$300:K304))</f>
        <v>0</v>
      </c>
      <c r="L305" s="416">
        <f>IF(L$297&gt;$A305,$A305-$A304,L$297-SUM(L$300:L304))</f>
        <v>0</v>
      </c>
      <c r="M305" s="283"/>
      <c r="N305" s="405">
        <f t="shared" si="99"/>
        <v>0</v>
      </c>
      <c r="O305" s="95">
        <f t="shared" si="99"/>
        <v>0</v>
      </c>
      <c r="P305" s="95">
        <f t="shared" si="99"/>
        <v>0</v>
      </c>
      <c r="Q305" s="95">
        <f t="shared" si="99"/>
        <v>0.4091999999999999</v>
      </c>
      <c r="R305" s="95">
        <f t="shared" si="99"/>
        <v>0.88879999999999981</v>
      </c>
      <c r="S305" s="95">
        <f t="shared" si="99"/>
        <v>0.55000000000000004</v>
      </c>
      <c r="T305" s="95">
        <f t="shared" si="99"/>
        <v>0</v>
      </c>
      <c r="U305" s="95">
        <f t="shared" si="99"/>
        <v>0</v>
      </c>
      <c r="V305" s="95">
        <f t="shared" si="99"/>
        <v>0</v>
      </c>
      <c r="W305" s="95">
        <f t="shared" si="99"/>
        <v>0</v>
      </c>
      <c r="X305" s="283"/>
    </row>
    <row r="306" spans="1:24" s="8" customFormat="1" outlineLevel="2">
      <c r="A306" s="416">
        <f>D$57</f>
        <v>50</v>
      </c>
      <c r="B306" s="416">
        <f>B$57</f>
        <v>0.2</v>
      </c>
      <c r="C306" s="411">
        <f>IF(C$297&gt;$A306,$A306-$A305,C$297-SUM(C$300:C305))</f>
        <v>0</v>
      </c>
      <c r="D306" s="416">
        <f>IF(D$297&gt;$A306,$A306-$A305,D$297-SUM(D$300:D305))</f>
        <v>0</v>
      </c>
      <c r="E306" s="416">
        <f>IF(E$297&gt;$A306,$A306-$A305,E$297-SUM(E$300:E305))</f>
        <v>0</v>
      </c>
      <c r="F306" s="416">
        <f>IF(F$297&gt;$A306,$A306-$A305,F$297-SUM(F$300:F305))</f>
        <v>0</v>
      </c>
      <c r="G306" s="416">
        <f>IF(G$297&gt;$A306,$A306-$A305,G$297-SUM(G$300:G305))</f>
        <v>0</v>
      </c>
      <c r="H306" s="416">
        <f>IF(H$297&gt;$A306,$A306-$A305,H$297-SUM(H$300:H305))</f>
        <v>0</v>
      </c>
      <c r="I306" s="416">
        <f>IF(I$297&gt;$A306,$A306-$A305,I$297-SUM(I$300:I305))</f>
        <v>0</v>
      </c>
      <c r="J306" s="416">
        <f>IF(J$297&gt;$A306,$A306-$A305,J$297-SUM(J$300:J305))</f>
        <v>0</v>
      </c>
      <c r="K306" s="416">
        <f>IF(K$297&gt;$A306,$A306-$A305,K$297-SUM(K$300:K305))</f>
        <v>0</v>
      </c>
      <c r="L306" s="416">
        <f>IF(L$297&gt;$A306,$A306-$A305,L$297-SUM(L$300:L305))</f>
        <v>0</v>
      </c>
      <c r="M306" s="283"/>
      <c r="N306" s="405">
        <f t="shared" si="99"/>
        <v>0</v>
      </c>
      <c r="O306" s="95">
        <f t="shared" si="99"/>
        <v>0</v>
      </c>
      <c r="P306" s="95">
        <f t="shared" si="99"/>
        <v>0</v>
      </c>
      <c r="Q306" s="95">
        <f t="shared" si="99"/>
        <v>0</v>
      </c>
      <c r="R306" s="95">
        <f t="shared" si="99"/>
        <v>0</v>
      </c>
      <c r="S306" s="95">
        <f t="shared" si="99"/>
        <v>0</v>
      </c>
      <c r="T306" s="95">
        <f t="shared" si="99"/>
        <v>0</v>
      </c>
      <c r="U306" s="95">
        <f t="shared" si="99"/>
        <v>0</v>
      </c>
      <c r="V306" s="95">
        <f t="shared" si="99"/>
        <v>0</v>
      </c>
      <c r="W306" s="95">
        <f t="shared" si="99"/>
        <v>0</v>
      </c>
      <c r="X306" s="283"/>
    </row>
    <row r="307" spans="1:24" s="8" customFormat="1" outlineLevel="2">
      <c r="A307" s="416">
        <f>D$58</f>
        <v>75</v>
      </c>
      <c r="B307" s="416">
        <f>B$58</f>
        <v>0.15</v>
      </c>
      <c r="C307" s="411">
        <f>IF(C$297&gt;$A307,$A307-$A306,C$297-SUM(C$300:C306))</f>
        <v>0</v>
      </c>
      <c r="D307" s="416">
        <f>IF(D$297&gt;$A307,$A307-$A306,D$297-SUM(D$300:D306))</f>
        <v>0</v>
      </c>
      <c r="E307" s="416">
        <f>IF(E$297&gt;$A307,$A307-$A306,E$297-SUM(E$300:E306))</f>
        <v>0</v>
      </c>
      <c r="F307" s="416">
        <f>IF(F$297&gt;$A307,$A307-$A306,F$297-SUM(F$300:F306))</f>
        <v>0</v>
      </c>
      <c r="G307" s="416">
        <f>IF(G$297&gt;$A307,$A307-$A306,G$297-SUM(G$300:G306))</f>
        <v>0</v>
      </c>
      <c r="H307" s="416">
        <f>IF(H$297&gt;$A307,$A307-$A306,H$297-SUM(H$300:H306))</f>
        <v>0</v>
      </c>
      <c r="I307" s="416">
        <f>IF(I$297&gt;$A307,$A307-$A306,I$297-SUM(I$300:I306))</f>
        <v>0</v>
      </c>
      <c r="J307" s="416">
        <f>IF(J$297&gt;$A307,$A307-$A306,J$297-SUM(J$300:J306))</f>
        <v>0</v>
      </c>
      <c r="K307" s="416">
        <f>IF(K$297&gt;$A307,$A307-$A306,K$297-SUM(K$300:K306))</f>
        <v>0</v>
      </c>
      <c r="L307" s="416">
        <f>IF(L$297&gt;$A307,$A307-$A306,L$297-SUM(L$300:L306))</f>
        <v>0</v>
      </c>
      <c r="M307" s="283"/>
      <c r="N307" s="405">
        <f t="shared" si="99"/>
        <v>0</v>
      </c>
      <c r="O307" s="95">
        <f t="shared" si="99"/>
        <v>0</v>
      </c>
      <c r="P307" s="95">
        <f t="shared" si="99"/>
        <v>0</v>
      </c>
      <c r="Q307" s="95">
        <f t="shared" si="99"/>
        <v>0</v>
      </c>
      <c r="R307" s="95">
        <f t="shared" si="99"/>
        <v>0</v>
      </c>
      <c r="S307" s="95">
        <f t="shared" si="99"/>
        <v>0</v>
      </c>
      <c r="T307" s="95">
        <f t="shared" si="99"/>
        <v>0</v>
      </c>
      <c r="U307" s="95">
        <f t="shared" si="99"/>
        <v>0</v>
      </c>
      <c r="V307" s="95">
        <f t="shared" si="99"/>
        <v>0</v>
      </c>
      <c r="W307" s="95">
        <f t="shared" si="99"/>
        <v>0</v>
      </c>
      <c r="X307" s="283"/>
    </row>
    <row r="308" spans="1:24" s="8" customFormat="1" outlineLevel="2">
      <c r="A308" s="416">
        <f>D$59</f>
        <v>9999</v>
      </c>
      <c r="B308" s="416">
        <f>B$59</f>
        <v>0.1</v>
      </c>
      <c r="C308" s="411">
        <f>IF(C$297&gt;$A308,$A308-$A307,C$297-SUM(C$300:C307))</f>
        <v>0</v>
      </c>
      <c r="D308" s="416">
        <f>IF(D$297&gt;$A308,$A308-$A307,D$297-SUM(D$300:D307))</f>
        <v>0</v>
      </c>
      <c r="E308" s="416">
        <f>IF(E$297&gt;$A308,$A308-$A307,E$297-SUM(E$300:E307))</f>
        <v>0</v>
      </c>
      <c r="F308" s="416">
        <f>IF(F$297&gt;$A308,$A308-$A307,F$297-SUM(F$300:F307))</f>
        <v>0</v>
      </c>
      <c r="G308" s="416">
        <f>IF(G$297&gt;$A308,$A308-$A307,G$297-SUM(G$300:G307))</f>
        <v>0</v>
      </c>
      <c r="H308" s="416">
        <f>IF(H$297&gt;$A308,$A308-$A307,H$297-SUM(H$300:H307))</f>
        <v>0</v>
      </c>
      <c r="I308" s="416">
        <f>IF(I$297&gt;$A308,$A308-$A307,I$297-SUM(I$300:I307))</f>
        <v>0</v>
      </c>
      <c r="J308" s="416">
        <f>IF(J$297&gt;$A308,$A308-$A307,J$297-SUM(J$300:J307))</f>
        <v>0</v>
      </c>
      <c r="K308" s="416">
        <f>IF(K$297&gt;$A308,$A308-$A307,K$297-SUM(K$300:K307))</f>
        <v>0</v>
      </c>
      <c r="L308" s="416">
        <f>IF(L$297&gt;$A308,$A308-$A307,L$297-SUM(L$300:L307))</f>
        <v>0</v>
      </c>
      <c r="M308" s="283"/>
      <c r="N308" s="405">
        <f t="shared" si="99"/>
        <v>0</v>
      </c>
      <c r="O308" s="95">
        <f t="shared" si="99"/>
        <v>0</v>
      </c>
      <c r="P308" s="95">
        <f t="shared" si="99"/>
        <v>0</v>
      </c>
      <c r="Q308" s="95">
        <f t="shared" si="99"/>
        <v>0</v>
      </c>
      <c r="R308" s="95">
        <f t="shared" si="99"/>
        <v>0</v>
      </c>
      <c r="S308" s="95">
        <f t="shared" si="99"/>
        <v>0</v>
      </c>
      <c r="T308" s="95">
        <f t="shared" si="99"/>
        <v>0</v>
      </c>
      <c r="U308" s="95">
        <f t="shared" si="99"/>
        <v>0</v>
      </c>
      <c r="V308" s="95">
        <f t="shared" si="99"/>
        <v>0</v>
      </c>
      <c r="W308" s="95">
        <f t="shared" si="99"/>
        <v>0</v>
      </c>
      <c r="X308" s="283"/>
    </row>
    <row r="309" spans="1:24" s="8" customFormat="1" outlineLevel="1">
      <c r="A309" s="404"/>
      <c r="B309" s="417" t="str">
        <f>CONCATENATE(B296," Total")</f>
        <v>Fujitsu Total</v>
      </c>
      <c r="C309" s="418">
        <f>SUM(C300:C308)</f>
        <v>4.9000000000000004</v>
      </c>
      <c r="D309" s="419">
        <f t="shared" ref="D309:L309" si="100">SUM(D300:D308)</f>
        <v>5.7</v>
      </c>
      <c r="E309" s="419">
        <f t="shared" si="100"/>
        <v>5.1000000000000005</v>
      </c>
      <c r="F309" s="419">
        <f t="shared" si="100"/>
        <v>11.86</v>
      </c>
      <c r="G309" s="419">
        <f t="shared" si="100"/>
        <v>14.04</v>
      </c>
      <c r="H309" s="419">
        <f t="shared" si="100"/>
        <v>12.5</v>
      </c>
      <c r="I309" s="419">
        <f t="shared" si="100"/>
        <v>3.4000000000000004</v>
      </c>
      <c r="J309" s="419">
        <f t="shared" si="100"/>
        <v>3.9999999999999996</v>
      </c>
      <c r="K309" s="419">
        <f t="shared" si="100"/>
        <v>3.4</v>
      </c>
      <c r="L309" s="419">
        <f t="shared" si="100"/>
        <v>3.4</v>
      </c>
      <c r="M309" s="283"/>
      <c r="N309" s="420">
        <f>SUM(N300:N308)</f>
        <v>2.8650000000000002</v>
      </c>
      <c r="O309" s="420">
        <f t="shared" ref="O309:W309" si="101">SUM(O300:O308)</f>
        <v>3.2040000000000002</v>
      </c>
      <c r="P309" s="420">
        <f t="shared" si="101"/>
        <v>2.9520000000000004</v>
      </c>
      <c r="Q309" s="420">
        <f t="shared" si="101"/>
        <v>5.4192</v>
      </c>
      <c r="R309" s="420">
        <f t="shared" si="101"/>
        <v>5.8987999999999996</v>
      </c>
      <c r="S309" s="420">
        <f t="shared" si="101"/>
        <v>5.56</v>
      </c>
      <c r="T309" s="420">
        <f t="shared" si="101"/>
        <v>2.1900000000000004</v>
      </c>
      <c r="U309" s="420">
        <f t="shared" si="101"/>
        <v>2.46</v>
      </c>
      <c r="V309" s="420">
        <f t="shared" si="101"/>
        <v>2.19</v>
      </c>
      <c r="W309" s="420">
        <f t="shared" si="101"/>
        <v>2.19</v>
      </c>
      <c r="X309" s="283"/>
    </row>
    <row r="310" spans="1:24" s="8" customFormat="1" outlineLevel="1">
      <c r="B310" s="421" t="s">
        <v>778</v>
      </c>
      <c r="C310" s="422">
        <f t="shared" ref="C310:L310" si="102">C309-C297</f>
        <v>0</v>
      </c>
      <c r="D310" s="423">
        <f t="shared" si="102"/>
        <v>0</v>
      </c>
      <c r="E310" s="423">
        <f t="shared" si="102"/>
        <v>0</v>
      </c>
      <c r="F310" s="423">
        <f t="shared" si="102"/>
        <v>0</v>
      </c>
      <c r="G310" s="423">
        <f t="shared" si="102"/>
        <v>0</v>
      </c>
      <c r="H310" s="423">
        <f t="shared" si="102"/>
        <v>0</v>
      </c>
      <c r="I310" s="423">
        <f t="shared" si="102"/>
        <v>0</v>
      </c>
      <c r="J310" s="423">
        <f t="shared" si="102"/>
        <v>0</v>
      </c>
      <c r="K310" s="423">
        <f t="shared" si="102"/>
        <v>0</v>
      </c>
      <c r="L310" s="423">
        <f t="shared" si="102"/>
        <v>0</v>
      </c>
      <c r="M310" s="283"/>
      <c r="N310" s="283"/>
      <c r="O310" s="283"/>
      <c r="P310" s="283"/>
      <c r="Q310" s="283"/>
      <c r="R310" s="283"/>
      <c r="S310" s="283"/>
      <c r="T310" s="283"/>
      <c r="U310" s="283"/>
      <c r="V310" s="283"/>
      <c r="W310" s="283"/>
      <c r="X310" s="283"/>
    </row>
    <row r="311" spans="1:24" s="8" customFormat="1" outlineLevel="1">
      <c r="B311" s="283"/>
      <c r="C311" s="283"/>
      <c r="M311" s="283"/>
      <c r="X311" s="283"/>
    </row>
    <row r="312" spans="1:24" s="8" customFormat="1" outlineLevel="1" collapsed="1">
      <c r="A312" s="8">
        <f>A296+1</f>
        <v>9</v>
      </c>
      <c r="B312" s="424" t="str">
        <f>A148</f>
        <v>HTC</v>
      </c>
      <c r="C312" s="80">
        <v>2007</v>
      </c>
      <c r="D312" s="66">
        <f>C312+1</f>
        <v>2008</v>
      </c>
      <c r="E312" s="66">
        <f t="shared" ref="E312:L312" si="103">D312+1</f>
        <v>2009</v>
      </c>
      <c r="F312" s="66">
        <f t="shared" si="103"/>
        <v>2010</v>
      </c>
      <c r="G312" s="66">
        <f t="shared" si="103"/>
        <v>2011</v>
      </c>
      <c r="H312" s="66">
        <f t="shared" si="103"/>
        <v>2012</v>
      </c>
      <c r="I312" s="66">
        <f t="shared" si="103"/>
        <v>2013</v>
      </c>
      <c r="J312" s="66">
        <f t="shared" si="103"/>
        <v>2014</v>
      </c>
      <c r="K312" s="66">
        <f t="shared" si="103"/>
        <v>2015</v>
      </c>
      <c r="L312" s="66">
        <f t="shared" si="103"/>
        <v>2016</v>
      </c>
      <c r="M312" s="283"/>
      <c r="N312" s="168">
        <f t="shared" ref="N312:W312" si="104">C312</f>
        <v>2007</v>
      </c>
      <c r="O312" s="66">
        <f t="shared" si="104"/>
        <v>2008</v>
      </c>
      <c r="P312" s="66">
        <f t="shared" si="104"/>
        <v>2009</v>
      </c>
      <c r="Q312" s="66">
        <f t="shared" si="104"/>
        <v>2010</v>
      </c>
      <c r="R312" s="66">
        <f t="shared" si="104"/>
        <v>2011</v>
      </c>
      <c r="S312" s="66">
        <f t="shared" si="104"/>
        <v>2012</v>
      </c>
      <c r="T312" s="66">
        <f t="shared" si="104"/>
        <v>2013</v>
      </c>
      <c r="U312" s="66">
        <f t="shared" si="104"/>
        <v>2014</v>
      </c>
      <c r="V312" s="66">
        <f t="shared" si="104"/>
        <v>2015</v>
      </c>
      <c r="W312" s="66">
        <f t="shared" si="104"/>
        <v>2016</v>
      </c>
      <c r="X312" s="283"/>
    </row>
    <row r="313" spans="1:24" s="8" customFormat="1" outlineLevel="2">
      <c r="B313" s="8" t="s">
        <v>1348</v>
      </c>
      <c r="C313" s="411">
        <f t="shared" ref="C313:L313" si="105">VLOOKUP($B312,$A$140:$K$175,C$183+1,FALSE)</f>
        <v>9.9</v>
      </c>
      <c r="D313" s="412">
        <f t="shared" si="105"/>
        <v>12</v>
      </c>
      <c r="E313" s="412">
        <f t="shared" si="105"/>
        <v>11.7</v>
      </c>
      <c r="F313" s="412">
        <f t="shared" si="105"/>
        <v>24.6</v>
      </c>
      <c r="G313" s="412">
        <f t="shared" si="105"/>
        <v>45.3</v>
      </c>
      <c r="H313" s="412">
        <f t="shared" si="105"/>
        <v>30</v>
      </c>
      <c r="I313" s="412">
        <f t="shared" si="105"/>
        <v>19.399999999999999</v>
      </c>
      <c r="J313" s="412">
        <f t="shared" si="105"/>
        <v>19.5</v>
      </c>
      <c r="K313" s="412">
        <f t="shared" si="105"/>
        <v>13.600000000000001</v>
      </c>
      <c r="L313" s="412">
        <f t="shared" si="105"/>
        <v>10.4</v>
      </c>
      <c r="M313" s="283"/>
      <c r="N313" s="283"/>
      <c r="X313" s="283"/>
    </row>
    <row r="314" spans="1:24" s="8" customFormat="1" outlineLevel="2">
      <c r="C314" s="413"/>
      <c r="D314" s="414"/>
      <c r="E314" s="414"/>
      <c r="F314" s="414"/>
      <c r="G314" s="414"/>
      <c r="H314" s="414"/>
      <c r="I314" s="414"/>
      <c r="J314" s="414"/>
      <c r="K314" s="414"/>
      <c r="L314" s="414"/>
      <c r="M314" s="283"/>
      <c r="N314" s="283"/>
      <c r="X314" s="283"/>
    </row>
    <row r="315" spans="1:24" s="8" customFormat="1" outlineLevel="2">
      <c r="A315" s="66" t="s">
        <v>1349</v>
      </c>
      <c r="B315" s="66" t="s">
        <v>1350</v>
      </c>
      <c r="C315" s="415"/>
      <c r="F315" s="9"/>
      <c r="M315" s="283"/>
      <c r="N315" s="283"/>
      <c r="X315" s="283"/>
    </row>
    <row r="316" spans="1:24" s="8" customFormat="1" outlineLevel="2">
      <c r="A316" s="416">
        <f>D$51</f>
        <v>0.5</v>
      </c>
      <c r="B316" s="416">
        <f>B$51</f>
        <v>0.98</v>
      </c>
      <c r="C316" s="411">
        <f>IF(C$313&gt;$A316,$A316,C$313)</f>
        <v>0.5</v>
      </c>
      <c r="D316" s="416">
        <f t="shared" ref="D316:L316" si="106">IF(D$313&gt;$A316,$A316,D$313)</f>
        <v>0.5</v>
      </c>
      <c r="E316" s="416">
        <f t="shared" si="106"/>
        <v>0.5</v>
      </c>
      <c r="F316" s="416">
        <f t="shared" si="106"/>
        <v>0.5</v>
      </c>
      <c r="G316" s="416">
        <f t="shared" si="106"/>
        <v>0.5</v>
      </c>
      <c r="H316" s="416">
        <f t="shared" si="106"/>
        <v>0.5</v>
      </c>
      <c r="I316" s="416">
        <f t="shared" si="106"/>
        <v>0.5</v>
      </c>
      <c r="J316" s="416">
        <f t="shared" si="106"/>
        <v>0.5</v>
      </c>
      <c r="K316" s="416">
        <f t="shared" si="106"/>
        <v>0.5</v>
      </c>
      <c r="L316" s="416">
        <f t="shared" si="106"/>
        <v>0.5</v>
      </c>
      <c r="M316" s="283"/>
      <c r="N316" s="405">
        <f t="shared" ref="N316:W324" si="107">C316*$B316</f>
        <v>0.49</v>
      </c>
      <c r="O316" s="95">
        <f t="shared" si="107"/>
        <v>0.49</v>
      </c>
      <c r="P316" s="95">
        <f t="shared" si="107"/>
        <v>0.49</v>
      </c>
      <c r="Q316" s="95">
        <f t="shared" si="107"/>
        <v>0.49</v>
      </c>
      <c r="R316" s="95">
        <f t="shared" si="107"/>
        <v>0.49</v>
      </c>
      <c r="S316" s="95">
        <f t="shared" si="107"/>
        <v>0.49</v>
      </c>
      <c r="T316" s="95">
        <f t="shared" si="107"/>
        <v>0.49</v>
      </c>
      <c r="U316" s="95">
        <f t="shared" si="107"/>
        <v>0.49</v>
      </c>
      <c r="V316" s="95">
        <f t="shared" si="107"/>
        <v>0.49</v>
      </c>
      <c r="W316" s="95">
        <f t="shared" si="107"/>
        <v>0.49</v>
      </c>
      <c r="X316" s="283"/>
    </row>
    <row r="317" spans="1:24" s="8" customFormat="1" outlineLevel="2">
      <c r="A317" s="416">
        <f>D$52</f>
        <v>1</v>
      </c>
      <c r="B317" s="416">
        <f>B$52</f>
        <v>0.78</v>
      </c>
      <c r="C317" s="411">
        <f>IF(C$313&gt;$A317,$A317-$A316,C$313-SUM(C316:C$316))</f>
        <v>0.5</v>
      </c>
      <c r="D317" s="416">
        <f>IF(D$313&gt;$A317,$A317-$A316,D$313-SUM(D316:D$316))</f>
        <v>0.5</v>
      </c>
      <c r="E317" s="416">
        <f>IF(E$313&gt;$A317,$A317-$A316,E$313-SUM(E316:E$316))</f>
        <v>0.5</v>
      </c>
      <c r="F317" s="416">
        <f>IF(F$313&gt;$A317,$A317-$A316,F$313-SUM(F316:F$316))</f>
        <v>0.5</v>
      </c>
      <c r="G317" s="416">
        <f>IF(G$313&gt;$A317,$A317-$A316,G$313-SUM(G316:G$316))</f>
        <v>0.5</v>
      </c>
      <c r="H317" s="416">
        <f>IF(H$313&gt;$A317,$A317-$A316,H$313-SUM(H316:H$316))</f>
        <v>0.5</v>
      </c>
      <c r="I317" s="416">
        <f>IF(I$313&gt;$A317,$A317-$A316,I$313-SUM(I316:I$316))</f>
        <v>0.5</v>
      </c>
      <c r="J317" s="416">
        <f>IF(J$313&gt;$A317,$A317-$A316,J$313-SUM(J316:J$316))</f>
        <v>0.5</v>
      </c>
      <c r="K317" s="416">
        <f>IF(K$313&gt;$A317,$A317-$A316,K$313-SUM(K316:K$316))</f>
        <v>0.5</v>
      </c>
      <c r="L317" s="416">
        <f>IF(L$313&gt;$A317,$A317-$A316,L$313-SUM(L316:L$316))</f>
        <v>0.5</v>
      </c>
      <c r="M317" s="283"/>
      <c r="N317" s="405">
        <f t="shared" si="107"/>
        <v>0.39</v>
      </c>
      <c r="O317" s="95">
        <f t="shared" si="107"/>
        <v>0.39</v>
      </c>
      <c r="P317" s="95">
        <f t="shared" si="107"/>
        <v>0.39</v>
      </c>
      <c r="Q317" s="95">
        <f t="shared" si="107"/>
        <v>0.39</v>
      </c>
      <c r="R317" s="95">
        <f t="shared" si="107"/>
        <v>0.39</v>
      </c>
      <c r="S317" s="95">
        <f t="shared" si="107"/>
        <v>0.39</v>
      </c>
      <c r="T317" s="95">
        <f t="shared" si="107"/>
        <v>0.39</v>
      </c>
      <c r="U317" s="95">
        <f t="shared" si="107"/>
        <v>0.39</v>
      </c>
      <c r="V317" s="95">
        <f t="shared" si="107"/>
        <v>0.39</v>
      </c>
      <c r="W317" s="95">
        <f t="shared" si="107"/>
        <v>0.39</v>
      </c>
      <c r="X317" s="283"/>
    </row>
    <row r="318" spans="1:24" s="8" customFormat="1" outlineLevel="2">
      <c r="A318" s="416">
        <f>D$53</f>
        <v>2</v>
      </c>
      <c r="B318" s="416">
        <f>B$53</f>
        <v>0.68</v>
      </c>
      <c r="C318" s="411">
        <f>IF(C$313&gt;$A318,$A318-$A317,C$313-SUM(C$316:C317))</f>
        <v>1</v>
      </c>
      <c r="D318" s="416">
        <f>IF(D$313&gt;$A318,$A318-$A317,D$313-SUM(D$316:D317))</f>
        <v>1</v>
      </c>
      <c r="E318" s="416">
        <f>IF(E$313&gt;$A318,$A318-$A317,E$313-SUM(E$316:E317))</f>
        <v>1</v>
      </c>
      <c r="F318" s="416">
        <f>IF(F$313&gt;$A318,$A318-$A317,F$313-SUM(F$316:F317))</f>
        <v>1</v>
      </c>
      <c r="G318" s="416">
        <f>IF(G$313&gt;$A318,$A318-$A317,G$313-SUM(G$316:G317))</f>
        <v>1</v>
      </c>
      <c r="H318" s="416">
        <f>IF(H$313&gt;$A318,$A318-$A317,H$313-SUM(H$316:H317))</f>
        <v>1</v>
      </c>
      <c r="I318" s="416">
        <f>IF(I$313&gt;$A318,$A318-$A317,I$313-SUM(I$316:I317))</f>
        <v>1</v>
      </c>
      <c r="J318" s="416">
        <f>IF(J$313&gt;$A318,$A318-$A317,J$313-SUM(J$316:J317))</f>
        <v>1</v>
      </c>
      <c r="K318" s="416">
        <f>IF(K$313&gt;$A318,$A318-$A317,K$313-SUM(K$316:K317))</f>
        <v>1</v>
      </c>
      <c r="L318" s="416">
        <f>IF(L$313&gt;$A318,$A318-$A317,L$313-SUM(L$316:L317))</f>
        <v>1</v>
      </c>
      <c r="M318" s="283"/>
      <c r="N318" s="405">
        <f t="shared" si="107"/>
        <v>0.68</v>
      </c>
      <c r="O318" s="95">
        <f t="shared" si="107"/>
        <v>0.68</v>
      </c>
      <c r="P318" s="95">
        <f t="shared" si="107"/>
        <v>0.68</v>
      </c>
      <c r="Q318" s="95">
        <f t="shared" si="107"/>
        <v>0.68</v>
      </c>
      <c r="R318" s="95">
        <f t="shared" si="107"/>
        <v>0.68</v>
      </c>
      <c r="S318" s="95">
        <f t="shared" si="107"/>
        <v>0.68</v>
      </c>
      <c r="T318" s="95">
        <f t="shared" si="107"/>
        <v>0.68</v>
      </c>
      <c r="U318" s="95">
        <f t="shared" si="107"/>
        <v>0.68</v>
      </c>
      <c r="V318" s="95">
        <f t="shared" si="107"/>
        <v>0.68</v>
      </c>
      <c r="W318" s="95">
        <f t="shared" si="107"/>
        <v>0.68</v>
      </c>
      <c r="X318" s="283"/>
    </row>
    <row r="319" spans="1:24" s="8" customFormat="1" outlineLevel="2">
      <c r="A319" s="416">
        <f>D$54</f>
        <v>5</v>
      </c>
      <c r="B319" s="416">
        <f>B$54</f>
        <v>0.45</v>
      </c>
      <c r="C319" s="411">
        <f>IF(C$313&gt;$A319,$A319-$A318,C$313-SUM(C$316:C318))</f>
        <v>3</v>
      </c>
      <c r="D319" s="416">
        <f>IF(D$313&gt;$A319,$A319-$A318,D$313-SUM(D$316:D318))</f>
        <v>3</v>
      </c>
      <c r="E319" s="416">
        <f>IF(E$313&gt;$A319,$A319-$A318,E$313-SUM(E$316:E318))</f>
        <v>3</v>
      </c>
      <c r="F319" s="416">
        <f>IF(F$313&gt;$A319,$A319-$A318,F$313-SUM(F$316:F318))</f>
        <v>3</v>
      </c>
      <c r="G319" s="416">
        <f>IF(G$313&gt;$A319,$A319-$A318,G$313-SUM(G$316:G318))</f>
        <v>3</v>
      </c>
      <c r="H319" s="416">
        <f>IF(H$313&gt;$A319,$A319-$A318,H$313-SUM(H$316:H318))</f>
        <v>3</v>
      </c>
      <c r="I319" s="416">
        <f>IF(I$313&gt;$A319,$A319-$A318,I$313-SUM(I$316:I318))</f>
        <v>3</v>
      </c>
      <c r="J319" s="416">
        <f>IF(J$313&gt;$A319,$A319-$A318,J$313-SUM(J$316:J318))</f>
        <v>3</v>
      </c>
      <c r="K319" s="416">
        <f>IF(K$313&gt;$A319,$A319-$A318,K$313-SUM(K$316:K318))</f>
        <v>3</v>
      </c>
      <c r="L319" s="416">
        <f>IF(L$313&gt;$A319,$A319-$A318,L$313-SUM(L$316:L318))</f>
        <v>3</v>
      </c>
      <c r="M319" s="283"/>
      <c r="N319" s="405">
        <f t="shared" si="107"/>
        <v>1.35</v>
      </c>
      <c r="O319" s="95">
        <f t="shared" si="107"/>
        <v>1.35</v>
      </c>
      <c r="P319" s="95">
        <f t="shared" si="107"/>
        <v>1.35</v>
      </c>
      <c r="Q319" s="95">
        <f t="shared" si="107"/>
        <v>1.35</v>
      </c>
      <c r="R319" s="95">
        <f t="shared" si="107"/>
        <v>1.35</v>
      </c>
      <c r="S319" s="95">
        <f t="shared" si="107"/>
        <v>1.35</v>
      </c>
      <c r="T319" s="95">
        <f t="shared" si="107"/>
        <v>1.35</v>
      </c>
      <c r="U319" s="95">
        <f t="shared" si="107"/>
        <v>1.35</v>
      </c>
      <c r="V319" s="95">
        <f t="shared" si="107"/>
        <v>1.35</v>
      </c>
      <c r="W319" s="95">
        <f t="shared" si="107"/>
        <v>1.35</v>
      </c>
      <c r="X319" s="283"/>
    </row>
    <row r="320" spans="1:24" s="8" customFormat="1" outlineLevel="2">
      <c r="A320" s="416">
        <f>D$55</f>
        <v>10</v>
      </c>
      <c r="B320" s="416">
        <f>B$55</f>
        <v>0.42</v>
      </c>
      <c r="C320" s="411">
        <f>IF(C$313&gt;$A320,$A320-$A319,C$313-SUM(C$316:C319))</f>
        <v>4.9000000000000004</v>
      </c>
      <c r="D320" s="416">
        <f>IF(D$313&gt;$A320,$A320-$A319,D$313-SUM(D$316:D319))</f>
        <v>5</v>
      </c>
      <c r="E320" s="416">
        <f>IF(E$313&gt;$A320,$A320-$A319,E$313-SUM(E$316:E319))</f>
        <v>5</v>
      </c>
      <c r="F320" s="416">
        <f>IF(F$313&gt;$A320,$A320-$A319,F$313-SUM(F$316:F319))</f>
        <v>5</v>
      </c>
      <c r="G320" s="416">
        <f>IF(G$313&gt;$A320,$A320-$A319,G$313-SUM(G$316:G319))</f>
        <v>5</v>
      </c>
      <c r="H320" s="416">
        <f>IF(H$313&gt;$A320,$A320-$A319,H$313-SUM(H$316:H319))</f>
        <v>5</v>
      </c>
      <c r="I320" s="416">
        <f>IF(I$313&gt;$A320,$A320-$A319,I$313-SUM(I$316:I319))</f>
        <v>5</v>
      </c>
      <c r="J320" s="416">
        <f>IF(J$313&gt;$A320,$A320-$A319,J$313-SUM(J$316:J319))</f>
        <v>5</v>
      </c>
      <c r="K320" s="416">
        <f>IF(K$313&gt;$A320,$A320-$A319,K$313-SUM(K$316:K319))</f>
        <v>5</v>
      </c>
      <c r="L320" s="416">
        <f>IF(L$313&gt;$A320,$A320-$A319,L$313-SUM(L$316:L319))</f>
        <v>5</v>
      </c>
      <c r="M320" s="283"/>
      <c r="N320" s="405">
        <f t="shared" si="107"/>
        <v>2.0580000000000003</v>
      </c>
      <c r="O320" s="95">
        <f t="shared" si="107"/>
        <v>2.1</v>
      </c>
      <c r="P320" s="95">
        <f t="shared" si="107"/>
        <v>2.1</v>
      </c>
      <c r="Q320" s="95">
        <f t="shared" si="107"/>
        <v>2.1</v>
      </c>
      <c r="R320" s="95">
        <f t="shared" si="107"/>
        <v>2.1</v>
      </c>
      <c r="S320" s="95">
        <f t="shared" si="107"/>
        <v>2.1</v>
      </c>
      <c r="T320" s="95">
        <f t="shared" si="107"/>
        <v>2.1</v>
      </c>
      <c r="U320" s="95">
        <f t="shared" si="107"/>
        <v>2.1</v>
      </c>
      <c r="V320" s="95">
        <f t="shared" si="107"/>
        <v>2.1</v>
      </c>
      <c r="W320" s="95">
        <f t="shared" si="107"/>
        <v>2.1</v>
      </c>
      <c r="X320" s="283"/>
    </row>
    <row r="321" spans="1:24" s="8" customFormat="1" outlineLevel="2">
      <c r="A321" s="416">
        <f>D$56</f>
        <v>20</v>
      </c>
      <c r="B321" s="416">
        <f>B$56</f>
        <v>0.22</v>
      </c>
      <c r="C321" s="411">
        <f>IF(C$313&gt;$A321,$A321-$A320,C$313-SUM(C$316:C320))</f>
        <v>0</v>
      </c>
      <c r="D321" s="416">
        <f>IF(D$313&gt;$A321,$A321-$A320,D$313-SUM(D$316:D320))</f>
        <v>2</v>
      </c>
      <c r="E321" s="416">
        <f>IF(E$313&gt;$A321,$A321-$A320,E$313-SUM(E$316:E320))</f>
        <v>1.6999999999999993</v>
      </c>
      <c r="F321" s="416">
        <f>IF(F$313&gt;$A321,$A321-$A320,F$313-SUM(F$316:F320))</f>
        <v>10</v>
      </c>
      <c r="G321" s="416">
        <f>IF(G$313&gt;$A321,$A321-$A320,G$313-SUM(G$316:G320))</f>
        <v>10</v>
      </c>
      <c r="H321" s="416">
        <f>IF(H$313&gt;$A321,$A321-$A320,H$313-SUM(H$316:H320))</f>
        <v>10</v>
      </c>
      <c r="I321" s="416">
        <f>IF(I$313&gt;$A321,$A321-$A320,I$313-SUM(I$316:I320))</f>
        <v>9.3999999999999986</v>
      </c>
      <c r="J321" s="416">
        <f>IF(J$313&gt;$A321,$A321-$A320,J$313-SUM(J$316:J320))</f>
        <v>9.5</v>
      </c>
      <c r="K321" s="416">
        <f>IF(K$313&gt;$A321,$A321-$A320,K$313-SUM(K$316:K320))</f>
        <v>3.6000000000000014</v>
      </c>
      <c r="L321" s="416">
        <f>IF(L$313&gt;$A321,$A321-$A320,L$313-SUM(L$316:L320))</f>
        <v>0.40000000000000036</v>
      </c>
      <c r="M321" s="283"/>
      <c r="N321" s="405">
        <f t="shared" si="107"/>
        <v>0</v>
      </c>
      <c r="O321" s="95">
        <f t="shared" si="107"/>
        <v>0.44</v>
      </c>
      <c r="P321" s="95">
        <f t="shared" si="107"/>
        <v>0.37399999999999983</v>
      </c>
      <c r="Q321" s="95">
        <f t="shared" si="107"/>
        <v>2.2000000000000002</v>
      </c>
      <c r="R321" s="95">
        <f t="shared" si="107"/>
        <v>2.2000000000000002</v>
      </c>
      <c r="S321" s="95">
        <f t="shared" si="107"/>
        <v>2.2000000000000002</v>
      </c>
      <c r="T321" s="95">
        <f t="shared" si="107"/>
        <v>2.0679999999999996</v>
      </c>
      <c r="U321" s="95">
        <f t="shared" si="107"/>
        <v>2.09</v>
      </c>
      <c r="V321" s="95">
        <f t="shared" si="107"/>
        <v>0.79200000000000037</v>
      </c>
      <c r="W321" s="95">
        <f t="shared" si="107"/>
        <v>8.8000000000000078E-2</v>
      </c>
      <c r="X321" s="283"/>
    </row>
    <row r="322" spans="1:24" s="8" customFormat="1" outlineLevel="2">
      <c r="A322" s="416">
        <f>D$57</f>
        <v>50</v>
      </c>
      <c r="B322" s="416">
        <f>B$57</f>
        <v>0.2</v>
      </c>
      <c r="C322" s="411">
        <f>IF(C$313&gt;$A322,$A322-$A321,C$313-SUM(C$316:C321))</f>
        <v>0</v>
      </c>
      <c r="D322" s="416">
        <f>IF(D$313&gt;$A322,$A322-$A321,D$313-SUM(D$316:D321))</f>
        <v>0</v>
      </c>
      <c r="E322" s="416">
        <f>IF(E$313&gt;$A322,$A322-$A321,E$313-SUM(E$316:E321))</f>
        <v>0</v>
      </c>
      <c r="F322" s="416">
        <f>IF(F$313&gt;$A322,$A322-$A321,F$313-SUM(F$316:F321))</f>
        <v>4.6000000000000014</v>
      </c>
      <c r="G322" s="416">
        <f>IF(G$313&gt;$A322,$A322-$A321,G$313-SUM(G$316:G321))</f>
        <v>25.299999999999997</v>
      </c>
      <c r="H322" s="416">
        <f>IF(H$313&gt;$A322,$A322-$A321,H$313-SUM(H$316:H321))</f>
        <v>10</v>
      </c>
      <c r="I322" s="416">
        <f>IF(I$313&gt;$A322,$A322-$A321,I$313-SUM(I$316:I321))</f>
        <v>0</v>
      </c>
      <c r="J322" s="416">
        <f>IF(J$313&gt;$A322,$A322-$A321,J$313-SUM(J$316:J321))</f>
        <v>0</v>
      </c>
      <c r="K322" s="416">
        <f>IF(K$313&gt;$A322,$A322-$A321,K$313-SUM(K$316:K321))</f>
        <v>0</v>
      </c>
      <c r="L322" s="416">
        <f>IF(L$313&gt;$A322,$A322-$A321,L$313-SUM(L$316:L321))</f>
        <v>0</v>
      </c>
      <c r="M322" s="283"/>
      <c r="N322" s="405">
        <f t="shared" si="107"/>
        <v>0</v>
      </c>
      <c r="O322" s="95">
        <f t="shared" si="107"/>
        <v>0</v>
      </c>
      <c r="P322" s="95">
        <f t="shared" si="107"/>
        <v>0</v>
      </c>
      <c r="Q322" s="95">
        <f t="shared" si="107"/>
        <v>0.92000000000000037</v>
      </c>
      <c r="R322" s="95">
        <f t="shared" si="107"/>
        <v>5.0599999999999996</v>
      </c>
      <c r="S322" s="95">
        <f t="shared" si="107"/>
        <v>2</v>
      </c>
      <c r="T322" s="95">
        <f t="shared" si="107"/>
        <v>0</v>
      </c>
      <c r="U322" s="95">
        <f t="shared" si="107"/>
        <v>0</v>
      </c>
      <c r="V322" s="95">
        <f t="shared" si="107"/>
        <v>0</v>
      </c>
      <c r="W322" s="95">
        <f t="shared" si="107"/>
        <v>0</v>
      </c>
      <c r="X322" s="283"/>
    </row>
    <row r="323" spans="1:24" s="8" customFormat="1" outlineLevel="2">
      <c r="A323" s="416">
        <f>D$58</f>
        <v>75</v>
      </c>
      <c r="B323" s="416">
        <f>B$58</f>
        <v>0.15</v>
      </c>
      <c r="C323" s="411">
        <f>IF(C$313&gt;$A323,$A323-$A322,C$313-SUM(C$316:C322))</f>
        <v>0</v>
      </c>
      <c r="D323" s="416">
        <f>IF(D$313&gt;$A323,$A323-$A322,D$313-SUM(D$316:D322))</f>
        <v>0</v>
      </c>
      <c r="E323" s="416">
        <f>IF(E$313&gt;$A323,$A323-$A322,E$313-SUM(E$316:E322))</f>
        <v>0</v>
      </c>
      <c r="F323" s="416">
        <f>IF(F$313&gt;$A323,$A323-$A322,F$313-SUM(F$316:F322))</f>
        <v>0</v>
      </c>
      <c r="G323" s="416">
        <f>IF(G$313&gt;$A323,$A323-$A322,G$313-SUM(G$316:G322))</f>
        <v>0</v>
      </c>
      <c r="H323" s="416">
        <f>IF(H$313&gt;$A323,$A323-$A322,H$313-SUM(H$316:H322))</f>
        <v>0</v>
      </c>
      <c r="I323" s="416">
        <f>IF(I$313&gt;$A323,$A323-$A322,I$313-SUM(I$316:I322))</f>
        <v>0</v>
      </c>
      <c r="J323" s="416">
        <f>IF(J$313&gt;$A323,$A323-$A322,J$313-SUM(J$316:J322))</f>
        <v>0</v>
      </c>
      <c r="K323" s="416">
        <f>IF(K$313&gt;$A323,$A323-$A322,K$313-SUM(K$316:K322))</f>
        <v>0</v>
      </c>
      <c r="L323" s="416">
        <f>IF(L$313&gt;$A323,$A323-$A322,L$313-SUM(L$316:L322))</f>
        <v>0</v>
      </c>
      <c r="M323" s="283"/>
      <c r="N323" s="405">
        <f t="shared" si="107"/>
        <v>0</v>
      </c>
      <c r="O323" s="95">
        <f t="shared" si="107"/>
        <v>0</v>
      </c>
      <c r="P323" s="95">
        <f t="shared" si="107"/>
        <v>0</v>
      </c>
      <c r="Q323" s="95">
        <f t="shared" si="107"/>
        <v>0</v>
      </c>
      <c r="R323" s="95">
        <f t="shared" si="107"/>
        <v>0</v>
      </c>
      <c r="S323" s="95">
        <f t="shared" si="107"/>
        <v>0</v>
      </c>
      <c r="T323" s="95">
        <f t="shared" si="107"/>
        <v>0</v>
      </c>
      <c r="U323" s="95">
        <f t="shared" si="107"/>
        <v>0</v>
      </c>
      <c r="V323" s="95">
        <f t="shared" si="107"/>
        <v>0</v>
      </c>
      <c r="W323" s="95">
        <f t="shared" si="107"/>
        <v>0</v>
      </c>
      <c r="X323" s="283"/>
    </row>
    <row r="324" spans="1:24" s="8" customFormat="1" outlineLevel="2">
      <c r="A324" s="416">
        <f>D$59</f>
        <v>9999</v>
      </c>
      <c r="B324" s="416">
        <f>B$59</f>
        <v>0.1</v>
      </c>
      <c r="C324" s="411">
        <f>IF(C$313&gt;$A324,$A324-$A323,C$313-SUM(C$316:C323))</f>
        <v>0</v>
      </c>
      <c r="D324" s="416">
        <f>IF(D$313&gt;$A324,$A324-$A323,D$313-SUM(D$316:D323))</f>
        <v>0</v>
      </c>
      <c r="E324" s="416">
        <f>IF(E$313&gt;$A324,$A324-$A323,E$313-SUM(E$316:E323))</f>
        <v>0</v>
      </c>
      <c r="F324" s="416">
        <f>IF(F$313&gt;$A324,$A324-$A323,F$313-SUM(F$316:F323))</f>
        <v>0</v>
      </c>
      <c r="G324" s="416">
        <f>IF(G$313&gt;$A324,$A324-$A323,G$313-SUM(G$316:G323))</f>
        <v>0</v>
      </c>
      <c r="H324" s="416">
        <f>IF(H$313&gt;$A324,$A324-$A323,H$313-SUM(H$316:H323))</f>
        <v>0</v>
      </c>
      <c r="I324" s="416">
        <f>IF(I$313&gt;$A324,$A324-$A323,I$313-SUM(I$316:I323))</f>
        <v>0</v>
      </c>
      <c r="J324" s="416">
        <f>IF(J$313&gt;$A324,$A324-$A323,J$313-SUM(J$316:J323))</f>
        <v>0</v>
      </c>
      <c r="K324" s="416">
        <f>IF(K$313&gt;$A324,$A324-$A323,K$313-SUM(K$316:K323))</f>
        <v>0</v>
      </c>
      <c r="L324" s="416">
        <f>IF(L$313&gt;$A324,$A324-$A323,L$313-SUM(L$316:L323))</f>
        <v>0</v>
      </c>
      <c r="M324" s="283"/>
      <c r="N324" s="405">
        <f t="shared" si="107"/>
        <v>0</v>
      </c>
      <c r="O324" s="95">
        <f t="shared" si="107"/>
        <v>0</v>
      </c>
      <c r="P324" s="95">
        <f t="shared" si="107"/>
        <v>0</v>
      </c>
      <c r="Q324" s="95">
        <f t="shared" si="107"/>
        <v>0</v>
      </c>
      <c r="R324" s="95">
        <f t="shared" si="107"/>
        <v>0</v>
      </c>
      <c r="S324" s="95">
        <f t="shared" si="107"/>
        <v>0</v>
      </c>
      <c r="T324" s="95">
        <f t="shared" si="107"/>
        <v>0</v>
      </c>
      <c r="U324" s="95">
        <f t="shared" si="107"/>
        <v>0</v>
      </c>
      <c r="V324" s="95">
        <f t="shared" si="107"/>
        <v>0</v>
      </c>
      <c r="W324" s="95">
        <f t="shared" si="107"/>
        <v>0</v>
      </c>
      <c r="X324" s="283"/>
    </row>
    <row r="325" spans="1:24" s="8" customFormat="1" outlineLevel="1">
      <c r="A325" s="404"/>
      <c r="B325" s="417" t="str">
        <f>CONCATENATE(B312," Total")</f>
        <v>HTC Total</v>
      </c>
      <c r="C325" s="418">
        <f>SUM(C316:C324)</f>
        <v>9.9</v>
      </c>
      <c r="D325" s="419">
        <f t="shared" ref="D325:L325" si="108">SUM(D316:D324)</f>
        <v>12</v>
      </c>
      <c r="E325" s="419">
        <f t="shared" si="108"/>
        <v>11.7</v>
      </c>
      <c r="F325" s="419">
        <f t="shared" si="108"/>
        <v>24.6</v>
      </c>
      <c r="G325" s="419">
        <f t="shared" si="108"/>
        <v>45.3</v>
      </c>
      <c r="H325" s="419">
        <f t="shared" si="108"/>
        <v>30</v>
      </c>
      <c r="I325" s="419">
        <f t="shared" si="108"/>
        <v>19.399999999999999</v>
      </c>
      <c r="J325" s="419">
        <f t="shared" si="108"/>
        <v>19.5</v>
      </c>
      <c r="K325" s="419">
        <f t="shared" si="108"/>
        <v>13.600000000000001</v>
      </c>
      <c r="L325" s="419">
        <f t="shared" si="108"/>
        <v>10.4</v>
      </c>
      <c r="M325" s="283"/>
      <c r="N325" s="420">
        <f>SUM(N316:N324)</f>
        <v>4.968</v>
      </c>
      <c r="O325" s="420">
        <f t="shared" ref="O325:W325" si="109">SUM(O316:O324)</f>
        <v>5.45</v>
      </c>
      <c r="P325" s="420">
        <f t="shared" si="109"/>
        <v>5.3839999999999995</v>
      </c>
      <c r="Q325" s="420">
        <f t="shared" si="109"/>
        <v>8.1300000000000008</v>
      </c>
      <c r="R325" s="420">
        <f t="shared" si="109"/>
        <v>12.27</v>
      </c>
      <c r="S325" s="420">
        <f t="shared" si="109"/>
        <v>9.2100000000000009</v>
      </c>
      <c r="T325" s="420">
        <f t="shared" si="109"/>
        <v>7.0779999999999994</v>
      </c>
      <c r="U325" s="420">
        <f t="shared" si="109"/>
        <v>7.1</v>
      </c>
      <c r="V325" s="420">
        <f t="shared" si="109"/>
        <v>5.8020000000000005</v>
      </c>
      <c r="W325" s="420">
        <f t="shared" si="109"/>
        <v>5.0979999999999999</v>
      </c>
      <c r="X325" s="283"/>
    </row>
    <row r="326" spans="1:24" s="8" customFormat="1" outlineLevel="1">
      <c r="B326" s="421" t="s">
        <v>778</v>
      </c>
      <c r="C326" s="422">
        <f t="shared" ref="C326:L326" si="110">C325-C313</f>
        <v>0</v>
      </c>
      <c r="D326" s="423">
        <f t="shared" si="110"/>
        <v>0</v>
      </c>
      <c r="E326" s="423">
        <f t="shared" si="110"/>
        <v>0</v>
      </c>
      <c r="F326" s="423">
        <f t="shared" si="110"/>
        <v>0</v>
      </c>
      <c r="G326" s="423">
        <f t="shared" si="110"/>
        <v>0</v>
      </c>
      <c r="H326" s="423">
        <f t="shared" si="110"/>
        <v>0</v>
      </c>
      <c r="I326" s="423">
        <f t="shared" si="110"/>
        <v>0</v>
      </c>
      <c r="J326" s="423">
        <f t="shared" si="110"/>
        <v>0</v>
      </c>
      <c r="K326" s="423">
        <f t="shared" si="110"/>
        <v>0</v>
      </c>
      <c r="L326" s="423">
        <f t="shared" si="110"/>
        <v>0</v>
      </c>
      <c r="M326" s="283"/>
      <c r="N326" s="283"/>
      <c r="O326" s="283"/>
      <c r="P326" s="283"/>
      <c r="Q326" s="283"/>
      <c r="R326" s="283"/>
      <c r="S326" s="283"/>
      <c r="T326" s="283"/>
      <c r="U326" s="283"/>
      <c r="V326" s="283"/>
      <c r="W326" s="283"/>
      <c r="X326" s="283"/>
    </row>
    <row r="327" spans="1:24" s="8" customFormat="1" outlineLevel="1">
      <c r="C327" s="283"/>
      <c r="M327" s="283"/>
      <c r="X327" s="283"/>
    </row>
    <row r="328" spans="1:24" s="8" customFormat="1" outlineLevel="1" collapsed="1">
      <c r="A328" s="8">
        <f>A312+1</f>
        <v>10</v>
      </c>
      <c r="B328" s="424" t="str">
        <f>A149</f>
        <v>Huawei</v>
      </c>
      <c r="C328" s="80">
        <v>2007</v>
      </c>
      <c r="D328" s="66">
        <f>C328+1</f>
        <v>2008</v>
      </c>
      <c r="E328" s="66">
        <f t="shared" ref="E328:L328" si="111">D328+1</f>
        <v>2009</v>
      </c>
      <c r="F328" s="66">
        <f t="shared" si="111"/>
        <v>2010</v>
      </c>
      <c r="G328" s="66">
        <f t="shared" si="111"/>
        <v>2011</v>
      </c>
      <c r="H328" s="66">
        <f t="shared" si="111"/>
        <v>2012</v>
      </c>
      <c r="I328" s="66">
        <f t="shared" si="111"/>
        <v>2013</v>
      </c>
      <c r="J328" s="66">
        <f t="shared" si="111"/>
        <v>2014</v>
      </c>
      <c r="K328" s="66">
        <f t="shared" si="111"/>
        <v>2015</v>
      </c>
      <c r="L328" s="66">
        <f t="shared" si="111"/>
        <v>2016</v>
      </c>
      <c r="M328" s="283"/>
      <c r="N328" s="168">
        <f t="shared" ref="N328:W328" si="112">C328</f>
        <v>2007</v>
      </c>
      <c r="O328" s="66">
        <f t="shared" si="112"/>
        <v>2008</v>
      </c>
      <c r="P328" s="66">
        <f t="shared" si="112"/>
        <v>2009</v>
      </c>
      <c r="Q328" s="66">
        <f t="shared" si="112"/>
        <v>2010</v>
      </c>
      <c r="R328" s="66">
        <f t="shared" si="112"/>
        <v>2011</v>
      </c>
      <c r="S328" s="66">
        <f t="shared" si="112"/>
        <v>2012</v>
      </c>
      <c r="T328" s="66">
        <f t="shared" si="112"/>
        <v>2013</v>
      </c>
      <c r="U328" s="66">
        <f t="shared" si="112"/>
        <v>2014</v>
      </c>
      <c r="V328" s="66">
        <f t="shared" si="112"/>
        <v>2015</v>
      </c>
      <c r="W328" s="66">
        <f t="shared" si="112"/>
        <v>2016</v>
      </c>
      <c r="X328" s="283"/>
    </row>
    <row r="329" spans="1:24" s="8" customFormat="1" outlineLevel="2">
      <c r="B329" s="8" t="s">
        <v>1348</v>
      </c>
      <c r="C329" s="411">
        <f t="shared" ref="C329:L329" si="113">VLOOKUP($B328,$A$140:$K$175,C$183+1,FALSE)</f>
        <v>16</v>
      </c>
      <c r="D329" s="412">
        <f t="shared" si="113"/>
        <v>29</v>
      </c>
      <c r="E329" s="412">
        <f t="shared" si="113"/>
        <v>30</v>
      </c>
      <c r="F329" s="412">
        <f t="shared" si="113"/>
        <v>30.700599999999998</v>
      </c>
      <c r="G329" s="412">
        <f t="shared" si="113"/>
        <v>54.15696299999999</v>
      </c>
      <c r="H329" s="412">
        <f t="shared" si="113"/>
        <v>60.118550999999997</v>
      </c>
      <c r="I329" s="412">
        <f t="shared" si="113"/>
        <v>60.844525999999995</v>
      </c>
      <c r="J329" s="412">
        <f t="shared" si="113"/>
        <v>80.592425999999989</v>
      </c>
      <c r="K329" s="412">
        <f t="shared" si="113"/>
        <v>115.279579</v>
      </c>
      <c r="L329" s="412">
        <f t="shared" si="113"/>
        <v>148.98248699999999</v>
      </c>
      <c r="M329" s="283"/>
      <c r="N329" s="283"/>
      <c r="X329" s="283"/>
    </row>
    <row r="330" spans="1:24" s="8" customFormat="1" outlineLevel="2">
      <c r="C330" s="413"/>
      <c r="D330" s="414"/>
      <c r="E330" s="414"/>
      <c r="F330" s="414"/>
      <c r="G330" s="414"/>
      <c r="H330" s="414"/>
      <c r="I330" s="414"/>
      <c r="J330" s="414"/>
      <c r="K330" s="414"/>
      <c r="L330" s="414"/>
      <c r="M330" s="283"/>
      <c r="N330" s="283"/>
      <c r="X330" s="283"/>
    </row>
    <row r="331" spans="1:24" s="8" customFormat="1" outlineLevel="2">
      <c r="A331" s="66" t="s">
        <v>1349</v>
      </c>
      <c r="B331" s="66" t="s">
        <v>1350</v>
      </c>
      <c r="C331" s="415"/>
      <c r="F331" s="9"/>
      <c r="M331" s="283"/>
      <c r="N331" s="283"/>
      <c r="X331" s="283"/>
    </row>
    <row r="332" spans="1:24" s="8" customFormat="1" outlineLevel="2">
      <c r="A332" s="416">
        <f>D$51</f>
        <v>0.5</v>
      </c>
      <c r="B332" s="416">
        <f>B$51</f>
        <v>0.98</v>
      </c>
      <c r="C332" s="411">
        <f>IF(C$329&gt;$A332,$A332,C$329)</f>
        <v>0.5</v>
      </c>
      <c r="D332" s="416">
        <f t="shared" ref="D332:L332" si="114">IF(D$329&gt;$A332,$A332,D$329)</f>
        <v>0.5</v>
      </c>
      <c r="E332" s="416">
        <f t="shared" si="114"/>
        <v>0.5</v>
      </c>
      <c r="F332" s="416">
        <f t="shared" si="114"/>
        <v>0.5</v>
      </c>
      <c r="G332" s="416">
        <f t="shared" si="114"/>
        <v>0.5</v>
      </c>
      <c r="H332" s="416">
        <f t="shared" si="114"/>
        <v>0.5</v>
      </c>
      <c r="I332" s="416">
        <f t="shared" si="114"/>
        <v>0.5</v>
      </c>
      <c r="J332" s="416">
        <f t="shared" si="114"/>
        <v>0.5</v>
      </c>
      <c r="K332" s="416">
        <f t="shared" si="114"/>
        <v>0.5</v>
      </c>
      <c r="L332" s="416">
        <f t="shared" si="114"/>
        <v>0.5</v>
      </c>
      <c r="M332" s="283"/>
      <c r="N332" s="405">
        <f t="shared" ref="N332:W340" si="115">C332*$B332</f>
        <v>0.49</v>
      </c>
      <c r="O332" s="95">
        <f t="shared" si="115"/>
        <v>0.49</v>
      </c>
      <c r="P332" s="95">
        <f t="shared" si="115"/>
        <v>0.49</v>
      </c>
      <c r="Q332" s="95">
        <f t="shared" si="115"/>
        <v>0.49</v>
      </c>
      <c r="R332" s="95">
        <f t="shared" si="115"/>
        <v>0.49</v>
      </c>
      <c r="S332" s="95">
        <f t="shared" si="115"/>
        <v>0.49</v>
      </c>
      <c r="T332" s="95">
        <f t="shared" si="115"/>
        <v>0.49</v>
      </c>
      <c r="U332" s="95">
        <f t="shared" si="115"/>
        <v>0.49</v>
      </c>
      <c r="V332" s="95">
        <f t="shared" si="115"/>
        <v>0.49</v>
      </c>
      <c r="W332" s="95">
        <f t="shared" si="115"/>
        <v>0.49</v>
      </c>
      <c r="X332" s="283"/>
    </row>
    <row r="333" spans="1:24" s="8" customFormat="1" outlineLevel="2">
      <c r="A333" s="416">
        <f>D$52</f>
        <v>1</v>
      </c>
      <c r="B333" s="416">
        <f>B$52</f>
        <v>0.78</v>
      </c>
      <c r="C333" s="411">
        <f>IF(C$329&gt;$A333,$A333-$A332,C$329-SUM(C332:C$332))</f>
        <v>0.5</v>
      </c>
      <c r="D333" s="416">
        <f>IF(D$329&gt;$A333,$A333-$A332,D$329-SUM(D332:D$332))</f>
        <v>0.5</v>
      </c>
      <c r="E333" s="416">
        <f>IF(E$329&gt;$A333,$A333-$A332,E$329-SUM(E332:E$332))</f>
        <v>0.5</v>
      </c>
      <c r="F333" s="416">
        <f>IF(F$329&gt;$A333,$A333-$A332,F$329-SUM(F332:F$332))</f>
        <v>0.5</v>
      </c>
      <c r="G333" s="416">
        <f>IF(G$329&gt;$A333,$A333-$A332,G$329-SUM(G332:G$332))</f>
        <v>0.5</v>
      </c>
      <c r="H333" s="416">
        <f>IF(H$329&gt;$A333,$A333-$A332,H$329-SUM(H332:H$332))</f>
        <v>0.5</v>
      </c>
      <c r="I333" s="416">
        <f>IF(I$329&gt;$A333,$A333-$A332,I$329-SUM(I332:I$332))</f>
        <v>0.5</v>
      </c>
      <c r="J333" s="416">
        <f>IF(J$329&gt;$A333,$A333-$A332,J$329-SUM(J332:J$332))</f>
        <v>0.5</v>
      </c>
      <c r="K333" s="416">
        <f>IF(K$329&gt;$A333,$A333-$A332,K$329-SUM(K332:K$332))</f>
        <v>0.5</v>
      </c>
      <c r="L333" s="416">
        <f>IF(L$329&gt;$A333,$A333-$A332,L$329-SUM(L332:L$332))</f>
        <v>0.5</v>
      </c>
      <c r="M333" s="283"/>
      <c r="N333" s="405">
        <f t="shared" si="115"/>
        <v>0.39</v>
      </c>
      <c r="O333" s="95">
        <f t="shared" si="115"/>
        <v>0.39</v>
      </c>
      <c r="P333" s="95">
        <f t="shared" si="115"/>
        <v>0.39</v>
      </c>
      <c r="Q333" s="95">
        <f t="shared" si="115"/>
        <v>0.39</v>
      </c>
      <c r="R333" s="95">
        <f t="shared" si="115"/>
        <v>0.39</v>
      </c>
      <c r="S333" s="95">
        <f t="shared" si="115"/>
        <v>0.39</v>
      </c>
      <c r="T333" s="95">
        <f t="shared" si="115"/>
        <v>0.39</v>
      </c>
      <c r="U333" s="95">
        <f t="shared" si="115"/>
        <v>0.39</v>
      </c>
      <c r="V333" s="95">
        <f t="shared" si="115"/>
        <v>0.39</v>
      </c>
      <c r="W333" s="95">
        <f t="shared" si="115"/>
        <v>0.39</v>
      </c>
      <c r="X333" s="283"/>
    </row>
    <row r="334" spans="1:24" s="8" customFormat="1" outlineLevel="2">
      <c r="A334" s="416">
        <f>D$53</f>
        <v>2</v>
      </c>
      <c r="B334" s="416">
        <f>B$53</f>
        <v>0.68</v>
      </c>
      <c r="C334" s="411">
        <f>IF(C$329&gt;$A334,$A334-$A333,C$329-SUM(C$332:C333))</f>
        <v>1</v>
      </c>
      <c r="D334" s="416">
        <f>IF(D$329&gt;$A334,$A334-$A333,D$329-SUM(D$332:D333))</f>
        <v>1</v>
      </c>
      <c r="E334" s="416">
        <f>IF(E$329&gt;$A334,$A334-$A333,E$329-SUM(E$332:E333))</f>
        <v>1</v>
      </c>
      <c r="F334" s="416">
        <f>IF(F$329&gt;$A334,$A334-$A333,F$329-SUM(F$332:F333))</f>
        <v>1</v>
      </c>
      <c r="G334" s="416">
        <f>IF(G$329&gt;$A334,$A334-$A333,G$329-SUM(G$332:G333))</f>
        <v>1</v>
      </c>
      <c r="H334" s="416">
        <f>IF(H$329&gt;$A334,$A334-$A333,H$329-SUM(H$332:H333))</f>
        <v>1</v>
      </c>
      <c r="I334" s="416">
        <f>IF(I$329&gt;$A334,$A334-$A333,I$329-SUM(I$332:I333))</f>
        <v>1</v>
      </c>
      <c r="J334" s="416">
        <f>IF(J$329&gt;$A334,$A334-$A333,J$329-SUM(J$332:J333))</f>
        <v>1</v>
      </c>
      <c r="K334" s="416">
        <f>IF(K$329&gt;$A334,$A334-$A333,K$329-SUM(K$332:K333))</f>
        <v>1</v>
      </c>
      <c r="L334" s="416">
        <f>IF(L$329&gt;$A334,$A334-$A333,L$329-SUM(L$332:L333))</f>
        <v>1</v>
      </c>
      <c r="M334" s="283"/>
      <c r="N334" s="405">
        <f t="shared" si="115"/>
        <v>0.68</v>
      </c>
      <c r="O334" s="95">
        <f t="shared" si="115"/>
        <v>0.68</v>
      </c>
      <c r="P334" s="95">
        <f t="shared" si="115"/>
        <v>0.68</v>
      </c>
      <c r="Q334" s="95">
        <f t="shared" si="115"/>
        <v>0.68</v>
      </c>
      <c r="R334" s="95">
        <f t="shared" si="115"/>
        <v>0.68</v>
      </c>
      <c r="S334" s="95">
        <f t="shared" si="115"/>
        <v>0.68</v>
      </c>
      <c r="T334" s="95">
        <f t="shared" si="115"/>
        <v>0.68</v>
      </c>
      <c r="U334" s="95">
        <f t="shared" si="115"/>
        <v>0.68</v>
      </c>
      <c r="V334" s="95">
        <f t="shared" si="115"/>
        <v>0.68</v>
      </c>
      <c r="W334" s="95">
        <f t="shared" si="115"/>
        <v>0.68</v>
      </c>
      <c r="X334" s="283"/>
    </row>
    <row r="335" spans="1:24" s="8" customFormat="1" outlineLevel="2">
      <c r="A335" s="416">
        <f>D$54</f>
        <v>5</v>
      </c>
      <c r="B335" s="416">
        <f>B$54</f>
        <v>0.45</v>
      </c>
      <c r="C335" s="411">
        <f>IF(C$329&gt;$A335,$A335-$A334,C$329-SUM(C$332:C334))</f>
        <v>3</v>
      </c>
      <c r="D335" s="416">
        <f>IF(D$329&gt;$A335,$A335-$A334,D$329-SUM(D$332:D334))</f>
        <v>3</v>
      </c>
      <c r="E335" s="416">
        <f>IF(E$329&gt;$A335,$A335-$A334,E$329-SUM(E$332:E334))</f>
        <v>3</v>
      </c>
      <c r="F335" s="416">
        <f>IF(F$329&gt;$A335,$A335-$A334,F$329-SUM(F$332:F334))</f>
        <v>3</v>
      </c>
      <c r="G335" s="416">
        <f>IF(G$329&gt;$A335,$A335-$A334,G$329-SUM(G$332:G334))</f>
        <v>3</v>
      </c>
      <c r="H335" s="416">
        <f>IF(H$329&gt;$A335,$A335-$A334,H$329-SUM(H$332:H334))</f>
        <v>3</v>
      </c>
      <c r="I335" s="416">
        <f>IF(I$329&gt;$A335,$A335-$A334,I$329-SUM(I$332:I334))</f>
        <v>3</v>
      </c>
      <c r="J335" s="416">
        <f>IF(J$329&gt;$A335,$A335-$A334,J$329-SUM(J$332:J334))</f>
        <v>3</v>
      </c>
      <c r="K335" s="416">
        <f>IF(K$329&gt;$A335,$A335-$A334,K$329-SUM(K$332:K334))</f>
        <v>3</v>
      </c>
      <c r="L335" s="416">
        <f>IF(L$329&gt;$A335,$A335-$A334,L$329-SUM(L$332:L334))</f>
        <v>3</v>
      </c>
      <c r="M335" s="283"/>
      <c r="N335" s="405">
        <f t="shared" si="115"/>
        <v>1.35</v>
      </c>
      <c r="O335" s="95">
        <f t="shared" si="115"/>
        <v>1.35</v>
      </c>
      <c r="P335" s="95">
        <f t="shared" si="115"/>
        <v>1.35</v>
      </c>
      <c r="Q335" s="95">
        <f t="shared" si="115"/>
        <v>1.35</v>
      </c>
      <c r="R335" s="95">
        <f t="shared" si="115"/>
        <v>1.35</v>
      </c>
      <c r="S335" s="95">
        <f t="shared" si="115"/>
        <v>1.35</v>
      </c>
      <c r="T335" s="95">
        <f t="shared" si="115"/>
        <v>1.35</v>
      </c>
      <c r="U335" s="95">
        <f t="shared" si="115"/>
        <v>1.35</v>
      </c>
      <c r="V335" s="95">
        <f t="shared" si="115"/>
        <v>1.35</v>
      </c>
      <c r="W335" s="95">
        <f t="shared" si="115"/>
        <v>1.35</v>
      </c>
      <c r="X335" s="283"/>
    </row>
    <row r="336" spans="1:24" s="8" customFormat="1" outlineLevel="2">
      <c r="A336" s="416">
        <f>D$55</f>
        <v>10</v>
      </c>
      <c r="B336" s="416">
        <f>B$55</f>
        <v>0.42</v>
      </c>
      <c r="C336" s="411">
        <f>IF(C$329&gt;$A336,$A336-$A335,C$329-SUM(C$332:C335))</f>
        <v>5</v>
      </c>
      <c r="D336" s="416">
        <f>IF(D$329&gt;$A336,$A336-$A335,D$329-SUM(D$332:D335))</f>
        <v>5</v>
      </c>
      <c r="E336" s="416">
        <f>IF(E$329&gt;$A336,$A336-$A335,E$329-SUM(E$332:E335))</f>
        <v>5</v>
      </c>
      <c r="F336" s="416">
        <f>IF(F$329&gt;$A336,$A336-$A335,F$329-SUM(F$332:F335))</f>
        <v>5</v>
      </c>
      <c r="G336" s="416">
        <f>IF(G$329&gt;$A336,$A336-$A335,G$329-SUM(G$332:G335))</f>
        <v>5</v>
      </c>
      <c r="H336" s="416">
        <f>IF(H$329&gt;$A336,$A336-$A335,H$329-SUM(H$332:H335))</f>
        <v>5</v>
      </c>
      <c r="I336" s="416">
        <f>IF(I$329&gt;$A336,$A336-$A335,I$329-SUM(I$332:I335))</f>
        <v>5</v>
      </c>
      <c r="J336" s="416">
        <f>IF(J$329&gt;$A336,$A336-$A335,J$329-SUM(J$332:J335))</f>
        <v>5</v>
      </c>
      <c r="K336" s="416">
        <f>IF(K$329&gt;$A336,$A336-$A335,K$329-SUM(K$332:K335))</f>
        <v>5</v>
      </c>
      <c r="L336" s="416">
        <f>IF(L$329&gt;$A336,$A336-$A335,L$329-SUM(L$332:L335))</f>
        <v>5</v>
      </c>
      <c r="M336" s="283"/>
      <c r="N336" s="405">
        <f t="shared" si="115"/>
        <v>2.1</v>
      </c>
      <c r="O336" s="95">
        <f t="shared" si="115"/>
        <v>2.1</v>
      </c>
      <c r="P336" s="95">
        <f t="shared" si="115"/>
        <v>2.1</v>
      </c>
      <c r="Q336" s="95">
        <f t="shared" si="115"/>
        <v>2.1</v>
      </c>
      <c r="R336" s="95">
        <f t="shared" si="115"/>
        <v>2.1</v>
      </c>
      <c r="S336" s="95">
        <f t="shared" si="115"/>
        <v>2.1</v>
      </c>
      <c r="T336" s="95">
        <f t="shared" si="115"/>
        <v>2.1</v>
      </c>
      <c r="U336" s="95">
        <f t="shared" si="115"/>
        <v>2.1</v>
      </c>
      <c r="V336" s="95">
        <f t="shared" si="115"/>
        <v>2.1</v>
      </c>
      <c r="W336" s="95">
        <f t="shared" si="115"/>
        <v>2.1</v>
      </c>
      <c r="X336" s="283"/>
    </row>
    <row r="337" spans="1:24" s="8" customFormat="1" outlineLevel="2">
      <c r="A337" s="416">
        <f>D$56</f>
        <v>20</v>
      </c>
      <c r="B337" s="416">
        <f>B$56</f>
        <v>0.22</v>
      </c>
      <c r="C337" s="411">
        <f>IF(C$329&gt;$A337,$A337-$A336,C$329-SUM(C$332:C336))</f>
        <v>6</v>
      </c>
      <c r="D337" s="416">
        <f>IF(D$329&gt;$A337,$A337-$A336,D$329-SUM(D$332:D336))</f>
        <v>10</v>
      </c>
      <c r="E337" s="416">
        <f>IF(E$329&gt;$A337,$A337-$A336,E$329-SUM(E$332:E336))</f>
        <v>10</v>
      </c>
      <c r="F337" s="416">
        <f>IF(F$329&gt;$A337,$A337-$A336,F$329-SUM(F$332:F336))</f>
        <v>10</v>
      </c>
      <c r="G337" s="416">
        <f>IF(G$329&gt;$A337,$A337-$A336,G$329-SUM(G$332:G336))</f>
        <v>10</v>
      </c>
      <c r="H337" s="416">
        <f>IF(H$329&gt;$A337,$A337-$A336,H$329-SUM(H$332:H336))</f>
        <v>10</v>
      </c>
      <c r="I337" s="416">
        <f>IF(I$329&gt;$A337,$A337-$A336,I$329-SUM(I$332:I336))</f>
        <v>10</v>
      </c>
      <c r="J337" s="416">
        <f>IF(J$329&gt;$A337,$A337-$A336,J$329-SUM(J$332:J336))</f>
        <v>10</v>
      </c>
      <c r="K337" s="416">
        <f>IF(K$329&gt;$A337,$A337-$A336,K$329-SUM(K$332:K336))</f>
        <v>10</v>
      </c>
      <c r="L337" s="416">
        <f>IF(L$329&gt;$A337,$A337-$A336,L$329-SUM(L$332:L336))</f>
        <v>10</v>
      </c>
      <c r="M337" s="283"/>
      <c r="N337" s="405">
        <f t="shared" si="115"/>
        <v>1.32</v>
      </c>
      <c r="O337" s="95">
        <f t="shared" si="115"/>
        <v>2.2000000000000002</v>
      </c>
      <c r="P337" s="95">
        <f t="shared" si="115"/>
        <v>2.2000000000000002</v>
      </c>
      <c r="Q337" s="95">
        <f t="shared" si="115"/>
        <v>2.2000000000000002</v>
      </c>
      <c r="R337" s="95">
        <f t="shared" si="115"/>
        <v>2.2000000000000002</v>
      </c>
      <c r="S337" s="95">
        <f t="shared" si="115"/>
        <v>2.2000000000000002</v>
      </c>
      <c r="T337" s="95">
        <f t="shared" si="115"/>
        <v>2.2000000000000002</v>
      </c>
      <c r="U337" s="95">
        <f t="shared" si="115"/>
        <v>2.2000000000000002</v>
      </c>
      <c r="V337" s="95">
        <f t="shared" si="115"/>
        <v>2.2000000000000002</v>
      </c>
      <c r="W337" s="95">
        <f t="shared" si="115"/>
        <v>2.2000000000000002</v>
      </c>
      <c r="X337" s="283"/>
    </row>
    <row r="338" spans="1:24" s="8" customFormat="1" outlineLevel="2">
      <c r="A338" s="416">
        <f>D$57</f>
        <v>50</v>
      </c>
      <c r="B338" s="416">
        <f>B$57</f>
        <v>0.2</v>
      </c>
      <c r="C338" s="411">
        <f>IF(C$329&gt;$A338,$A338-$A337,C$329-SUM(C$332:C337))</f>
        <v>0</v>
      </c>
      <c r="D338" s="416">
        <f>IF(D$329&gt;$A338,$A338-$A337,D$329-SUM(D$332:D337))</f>
        <v>9</v>
      </c>
      <c r="E338" s="416">
        <f>IF(E$329&gt;$A338,$A338-$A337,E$329-SUM(E$332:E337))</f>
        <v>10</v>
      </c>
      <c r="F338" s="416">
        <f>IF(F$329&gt;$A338,$A338-$A337,F$329-SUM(F$332:F337))</f>
        <v>10.700599999999998</v>
      </c>
      <c r="G338" s="416">
        <f>IF(G$329&gt;$A338,$A338-$A337,G$329-SUM(G$332:G337))</f>
        <v>30</v>
      </c>
      <c r="H338" s="416">
        <f>IF(H$329&gt;$A338,$A338-$A337,H$329-SUM(H$332:H337))</f>
        <v>30</v>
      </c>
      <c r="I338" s="416">
        <f>IF(I$329&gt;$A338,$A338-$A337,I$329-SUM(I$332:I337))</f>
        <v>30</v>
      </c>
      <c r="J338" s="416">
        <f>IF(J$329&gt;$A338,$A338-$A337,J$329-SUM(J$332:J337))</f>
        <v>30</v>
      </c>
      <c r="K338" s="416">
        <f>IF(K$329&gt;$A338,$A338-$A337,K$329-SUM(K$332:K337))</f>
        <v>30</v>
      </c>
      <c r="L338" s="416">
        <f>IF(L$329&gt;$A338,$A338-$A337,L$329-SUM(L$332:L337))</f>
        <v>30</v>
      </c>
      <c r="M338" s="283"/>
      <c r="N338" s="405">
        <f t="shared" si="115"/>
        <v>0</v>
      </c>
      <c r="O338" s="95">
        <f t="shared" si="115"/>
        <v>1.8</v>
      </c>
      <c r="P338" s="95">
        <f t="shared" si="115"/>
        <v>2</v>
      </c>
      <c r="Q338" s="95">
        <f t="shared" si="115"/>
        <v>2.1401199999999996</v>
      </c>
      <c r="R338" s="95">
        <f t="shared" si="115"/>
        <v>6</v>
      </c>
      <c r="S338" s="95">
        <f t="shared" si="115"/>
        <v>6</v>
      </c>
      <c r="T338" s="95">
        <f t="shared" si="115"/>
        <v>6</v>
      </c>
      <c r="U338" s="95">
        <f t="shared" si="115"/>
        <v>6</v>
      </c>
      <c r="V338" s="95">
        <f t="shared" si="115"/>
        <v>6</v>
      </c>
      <c r="W338" s="95">
        <f t="shared" si="115"/>
        <v>6</v>
      </c>
      <c r="X338" s="283"/>
    </row>
    <row r="339" spans="1:24" s="8" customFormat="1" outlineLevel="2">
      <c r="A339" s="416">
        <f>D$58</f>
        <v>75</v>
      </c>
      <c r="B339" s="416">
        <f>B$58</f>
        <v>0.15</v>
      </c>
      <c r="C339" s="411">
        <f>IF(C$329&gt;$A339,$A339-$A338,C$329-SUM(C$332:C338))</f>
        <v>0</v>
      </c>
      <c r="D339" s="416">
        <f>IF(D$329&gt;$A339,$A339-$A338,D$329-SUM(D$332:D338))</f>
        <v>0</v>
      </c>
      <c r="E339" s="416">
        <f>IF(E$329&gt;$A339,$A339-$A338,E$329-SUM(E$332:E338))</f>
        <v>0</v>
      </c>
      <c r="F339" s="416">
        <f>IF(F$329&gt;$A339,$A339-$A338,F$329-SUM(F$332:F338))</f>
        <v>0</v>
      </c>
      <c r="G339" s="416">
        <f>IF(G$329&gt;$A339,$A339-$A338,G$329-SUM(G$332:G338))</f>
        <v>4.1569629999999904</v>
      </c>
      <c r="H339" s="416">
        <f>IF(H$329&gt;$A339,$A339-$A338,H$329-SUM(H$332:H338))</f>
        <v>10.118550999999997</v>
      </c>
      <c r="I339" s="416">
        <f>IF(I$329&gt;$A339,$A339-$A338,I$329-SUM(I$332:I338))</f>
        <v>10.844525999999995</v>
      </c>
      <c r="J339" s="416">
        <f>IF(J$329&gt;$A339,$A339-$A338,J$329-SUM(J$332:J338))</f>
        <v>25</v>
      </c>
      <c r="K339" s="416">
        <f>IF(K$329&gt;$A339,$A339-$A338,K$329-SUM(K$332:K338))</f>
        <v>25</v>
      </c>
      <c r="L339" s="416">
        <f>IF(L$329&gt;$A339,$A339-$A338,L$329-SUM(L$332:L338))</f>
        <v>25</v>
      </c>
      <c r="M339" s="283"/>
      <c r="N339" s="405">
        <f t="shared" si="115"/>
        <v>0</v>
      </c>
      <c r="O339" s="95">
        <f t="shared" si="115"/>
        <v>0</v>
      </c>
      <c r="P339" s="95">
        <f t="shared" si="115"/>
        <v>0</v>
      </c>
      <c r="Q339" s="95">
        <f t="shared" si="115"/>
        <v>0</v>
      </c>
      <c r="R339" s="95">
        <f t="shared" si="115"/>
        <v>0.62354444999999858</v>
      </c>
      <c r="S339" s="95">
        <f t="shared" si="115"/>
        <v>1.5177826499999993</v>
      </c>
      <c r="T339" s="95">
        <f t="shared" si="115"/>
        <v>1.6266788999999993</v>
      </c>
      <c r="U339" s="95">
        <f t="shared" si="115"/>
        <v>3.75</v>
      </c>
      <c r="V339" s="95">
        <f t="shared" si="115"/>
        <v>3.75</v>
      </c>
      <c r="W339" s="95">
        <f t="shared" si="115"/>
        <v>3.75</v>
      </c>
      <c r="X339" s="283"/>
    </row>
    <row r="340" spans="1:24" s="8" customFormat="1" outlineLevel="2">
      <c r="A340" s="416">
        <f>D$59</f>
        <v>9999</v>
      </c>
      <c r="B340" s="416">
        <f>B$59</f>
        <v>0.1</v>
      </c>
      <c r="C340" s="411">
        <f>IF(C$329&gt;$A340,$A340-$A339,C$329-SUM(C$332:C339))</f>
        <v>0</v>
      </c>
      <c r="D340" s="416">
        <f>IF(D$329&gt;$A340,$A340-$A339,D$329-SUM(D$332:D339))</f>
        <v>0</v>
      </c>
      <c r="E340" s="416">
        <f>IF(E$329&gt;$A340,$A340-$A339,E$329-SUM(E$332:E339))</f>
        <v>0</v>
      </c>
      <c r="F340" s="416">
        <f>IF(F$329&gt;$A340,$A340-$A339,F$329-SUM(F$332:F339))</f>
        <v>0</v>
      </c>
      <c r="G340" s="416">
        <f>IF(G$329&gt;$A340,$A340-$A339,G$329-SUM(G$332:G339))</f>
        <v>0</v>
      </c>
      <c r="H340" s="416">
        <f>IF(H$329&gt;$A340,$A340-$A339,H$329-SUM(H$332:H339))</f>
        <v>0</v>
      </c>
      <c r="I340" s="416">
        <f>IF(I$329&gt;$A340,$A340-$A339,I$329-SUM(I$332:I339))</f>
        <v>0</v>
      </c>
      <c r="J340" s="416">
        <f>IF(J$329&gt;$A340,$A340-$A339,J$329-SUM(J$332:J339))</f>
        <v>5.592425999999989</v>
      </c>
      <c r="K340" s="416">
        <f>IF(K$329&gt;$A340,$A340-$A339,K$329-SUM(K$332:K339))</f>
        <v>40.279578999999998</v>
      </c>
      <c r="L340" s="416">
        <f>IF(L$329&gt;$A340,$A340-$A339,L$329-SUM(L$332:L339))</f>
        <v>73.982486999999992</v>
      </c>
      <c r="M340" s="283"/>
      <c r="N340" s="405">
        <f t="shared" si="115"/>
        <v>0</v>
      </c>
      <c r="O340" s="95">
        <f t="shared" si="115"/>
        <v>0</v>
      </c>
      <c r="P340" s="95">
        <f t="shared" si="115"/>
        <v>0</v>
      </c>
      <c r="Q340" s="95">
        <f t="shared" si="115"/>
        <v>0</v>
      </c>
      <c r="R340" s="95">
        <f t="shared" si="115"/>
        <v>0</v>
      </c>
      <c r="S340" s="95">
        <f t="shared" si="115"/>
        <v>0</v>
      </c>
      <c r="T340" s="95">
        <f t="shared" si="115"/>
        <v>0</v>
      </c>
      <c r="U340" s="95">
        <f t="shared" si="115"/>
        <v>0.55924259999999892</v>
      </c>
      <c r="V340" s="95">
        <f t="shared" si="115"/>
        <v>4.0279578999999996</v>
      </c>
      <c r="W340" s="95">
        <f t="shared" si="115"/>
        <v>7.3982486999999999</v>
      </c>
      <c r="X340" s="283"/>
    </row>
    <row r="341" spans="1:24" s="8" customFormat="1" outlineLevel="1">
      <c r="A341" s="404"/>
      <c r="B341" s="417" t="str">
        <f>CONCATENATE(B328," Total")</f>
        <v>Huawei Total</v>
      </c>
      <c r="C341" s="418">
        <f>SUM(C332:C340)</f>
        <v>16</v>
      </c>
      <c r="D341" s="419">
        <f t="shared" ref="D341:L341" si="116">SUM(D332:D340)</f>
        <v>29</v>
      </c>
      <c r="E341" s="419">
        <f t="shared" si="116"/>
        <v>30</v>
      </c>
      <c r="F341" s="419">
        <f t="shared" si="116"/>
        <v>30.700599999999998</v>
      </c>
      <c r="G341" s="419">
        <f t="shared" si="116"/>
        <v>54.15696299999999</v>
      </c>
      <c r="H341" s="419">
        <f t="shared" si="116"/>
        <v>60.118550999999997</v>
      </c>
      <c r="I341" s="419">
        <f t="shared" si="116"/>
        <v>60.844525999999995</v>
      </c>
      <c r="J341" s="419">
        <f t="shared" si="116"/>
        <v>80.592425999999989</v>
      </c>
      <c r="K341" s="419">
        <f t="shared" si="116"/>
        <v>115.279579</v>
      </c>
      <c r="L341" s="419">
        <f t="shared" si="116"/>
        <v>148.98248699999999</v>
      </c>
      <c r="M341" s="283"/>
      <c r="N341" s="420">
        <f>SUM(N332:N340)</f>
        <v>6.33</v>
      </c>
      <c r="O341" s="420">
        <f t="shared" ref="O341:W341" si="117">SUM(O332:O340)</f>
        <v>9.01</v>
      </c>
      <c r="P341" s="420">
        <f t="shared" si="117"/>
        <v>9.2100000000000009</v>
      </c>
      <c r="Q341" s="420">
        <f t="shared" si="117"/>
        <v>9.3501200000000004</v>
      </c>
      <c r="R341" s="420">
        <f t="shared" si="117"/>
        <v>13.83354445</v>
      </c>
      <c r="S341" s="420">
        <f t="shared" si="117"/>
        <v>14.72778265</v>
      </c>
      <c r="T341" s="420">
        <f t="shared" si="117"/>
        <v>14.836678900000001</v>
      </c>
      <c r="U341" s="420">
        <f t="shared" si="117"/>
        <v>17.519242599999998</v>
      </c>
      <c r="V341" s="420">
        <f t="shared" si="117"/>
        <v>20.987957900000001</v>
      </c>
      <c r="W341" s="420">
        <f t="shared" si="117"/>
        <v>24.358248700000001</v>
      </c>
      <c r="X341" s="283"/>
    </row>
    <row r="342" spans="1:24" s="8" customFormat="1" outlineLevel="1">
      <c r="B342" s="421" t="s">
        <v>778</v>
      </c>
      <c r="C342" s="422">
        <f t="shared" ref="C342:L342" si="118">C341-C329</f>
        <v>0</v>
      </c>
      <c r="D342" s="423">
        <f t="shared" si="118"/>
        <v>0</v>
      </c>
      <c r="E342" s="423">
        <f t="shared" si="118"/>
        <v>0</v>
      </c>
      <c r="F342" s="423">
        <f t="shared" si="118"/>
        <v>0</v>
      </c>
      <c r="G342" s="423">
        <f t="shared" si="118"/>
        <v>0</v>
      </c>
      <c r="H342" s="423">
        <f t="shared" si="118"/>
        <v>0</v>
      </c>
      <c r="I342" s="423">
        <f t="shared" si="118"/>
        <v>0</v>
      </c>
      <c r="J342" s="423">
        <f t="shared" si="118"/>
        <v>0</v>
      </c>
      <c r="K342" s="423">
        <f t="shared" si="118"/>
        <v>0</v>
      </c>
      <c r="L342" s="423">
        <f t="shared" si="118"/>
        <v>0</v>
      </c>
      <c r="M342" s="283"/>
      <c r="N342" s="283"/>
      <c r="O342" s="283"/>
      <c r="P342" s="283"/>
      <c r="Q342" s="283"/>
      <c r="R342" s="283"/>
      <c r="S342" s="283"/>
      <c r="T342" s="283"/>
      <c r="U342" s="283"/>
      <c r="V342" s="283"/>
      <c r="W342" s="283"/>
      <c r="X342" s="283"/>
    </row>
    <row r="343" spans="1:24" s="8" customFormat="1" outlineLevel="1">
      <c r="B343" s="283"/>
      <c r="C343" s="283"/>
      <c r="M343" s="283"/>
      <c r="X343" s="283"/>
    </row>
    <row r="344" spans="1:24" s="8" customFormat="1" outlineLevel="1" collapsed="1">
      <c r="A344" s="8">
        <f>A328+1</f>
        <v>11</v>
      </c>
      <c r="B344" s="424" t="str">
        <f>A150</f>
        <v>Kyocera</v>
      </c>
      <c r="C344" s="80">
        <v>2007</v>
      </c>
      <c r="D344" s="66">
        <f>C344+1</f>
        <v>2008</v>
      </c>
      <c r="E344" s="66">
        <f t="shared" ref="E344:L344" si="119">D344+1</f>
        <v>2009</v>
      </c>
      <c r="F344" s="66">
        <f t="shared" si="119"/>
        <v>2010</v>
      </c>
      <c r="G344" s="66">
        <f t="shared" si="119"/>
        <v>2011</v>
      </c>
      <c r="H344" s="66">
        <f t="shared" si="119"/>
        <v>2012</v>
      </c>
      <c r="I344" s="66">
        <f t="shared" si="119"/>
        <v>2013</v>
      </c>
      <c r="J344" s="66">
        <f t="shared" si="119"/>
        <v>2014</v>
      </c>
      <c r="K344" s="66">
        <f t="shared" si="119"/>
        <v>2015</v>
      </c>
      <c r="L344" s="66">
        <f t="shared" si="119"/>
        <v>2016</v>
      </c>
      <c r="M344" s="283"/>
      <c r="N344" s="168">
        <f t="shared" ref="N344:W344" si="120">C344</f>
        <v>2007</v>
      </c>
      <c r="O344" s="66">
        <f t="shared" si="120"/>
        <v>2008</v>
      </c>
      <c r="P344" s="66">
        <f t="shared" si="120"/>
        <v>2009</v>
      </c>
      <c r="Q344" s="66">
        <f t="shared" si="120"/>
        <v>2010</v>
      </c>
      <c r="R344" s="66">
        <f t="shared" si="120"/>
        <v>2011</v>
      </c>
      <c r="S344" s="66">
        <f t="shared" si="120"/>
        <v>2012</v>
      </c>
      <c r="T344" s="66">
        <f t="shared" si="120"/>
        <v>2013</v>
      </c>
      <c r="U344" s="66">
        <f t="shared" si="120"/>
        <v>2014</v>
      </c>
      <c r="V344" s="66">
        <f t="shared" si="120"/>
        <v>2015</v>
      </c>
      <c r="W344" s="66">
        <f t="shared" si="120"/>
        <v>2016</v>
      </c>
      <c r="X344" s="283"/>
    </row>
    <row r="345" spans="1:24" s="8" customFormat="1" outlineLevel="2">
      <c r="B345" s="8" t="s">
        <v>1348</v>
      </c>
      <c r="C345" s="411">
        <f t="shared" ref="C345:L345" si="121">VLOOKUP($B344,$A$140:$K$175,C$183+1,FALSE)</f>
        <v>9.1999999999999993</v>
      </c>
      <c r="D345" s="412">
        <f t="shared" si="121"/>
        <v>10.6</v>
      </c>
      <c r="E345" s="412">
        <f t="shared" si="121"/>
        <v>10.1</v>
      </c>
      <c r="F345" s="412">
        <f t="shared" si="121"/>
        <v>12.4</v>
      </c>
      <c r="G345" s="412">
        <f t="shared" si="121"/>
        <v>7.7</v>
      </c>
      <c r="H345" s="412">
        <f t="shared" si="121"/>
        <v>8.1</v>
      </c>
      <c r="I345" s="412">
        <f t="shared" si="121"/>
        <v>8.6999999999999993</v>
      </c>
      <c r="J345" s="412">
        <f t="shared" si="121"/>
        <v>8.8000000000000007</v>
      </c>
      <c r="K345" s="412">
        <f t="shared" si="121"/>
        <v>8</v>
      </c>
      <c r="L345" s="412">
        <f t="shared" si="121"/>
        <v>7.2999999999999989</v>
      </c>
      <c r="M345" s="283"/>
      <c r="N345" s="283"/>
      <c r="X345" s="283"/>
    </row>
    <row r="346" spans="1:24" s="8" customFormat="1" outlineLevel="2">
      <c r="C346" s="413"/>
      <c r="D346" s="414"/>
      <c r="E346" s="414"/>
      <c r="F346" s="414"/>
      <c r="G346" s="414"/>
      <c r="H346" s="414"/>
      <c r="I346" s="414"/>
      <c r="J346" s="414"/>
      <c r="K346" s="414"/>
      <c r="L346" s="414"/>
      <c r="M346" s="283"/>
      <c r="N346" s="283"/>
      <c r="X346" s="283"/>
    </row>
    <row r="347" spans="1:24" s="8" customFormat="1" outlineLevel="2">
      <c r="A347" s="66" t="s">
        <v>1349</v>
      </c>
      <c r="B347" s="66" t="s">
        <v>1350</v>
      </c>
      <c r="C347" s="415"/>
      <c r="F347" s="9"/>
      <c r="M347" s="283"/>
      <c r="N347" s="283"/>
      <c r="X347" s="283"/>
    </row>
    <row r="348" spans="1:24" s="8" customFormat="1" outlineLevel="2">
      <c r="A348" s="416">
        <f>D$51</f>
        <v>0.5</v>
      </c>
      <c r="B348" s="416">
        <f>B$51</f>
        <v>0.98</v>
      </c>
      <c r="C348" s="411">
        <f>IF(C$345&gt;$A348,$A348,C$345)</f>
        <v>0.5</v>
      </c>
      <c r="D348" s="416">
        <f t="shared" ref="D348:L348" si="122">IF(D$345&gt;$A348,$A348,D$345)</f>
        <v>0.5</v>
      </c>
      <c r="E348" s="416">
        <f t="shared" si="122"/>
        <v>0.5</v>
      </c>
      <c r="F348" s="416">
        <f t="shared" si="122"/>
        <v>0.5</v>
      </c>
      <c r="G348" s="416">
        <f t="shared" si="122"/>
        <v>0.5</v>
      </c>
      <c r="H348" s="416">
        <f t="shared" si="122"/>
        <v>0.5</v>
      </c>
      <c r="I348" s="416">
        <f t="shared" si="122"/>
        <v>0.5</v>
      </c>
      <c r="J348" s="416">
        <f t="shared" si="122"/>
        <v>0.5</v>
      </c>
      <c r="K348" s="416">
        <f t="shared" si="122"/>
        <v>0.5</v>
      </c>
      <c r="L348" s="416">
        <f t="shared" si="122"/>
        <v>0.5</v>
      </c>
      <c r="M348" s="283"/>
      <c r="N348" s="405">
        <f t="shared" ref="N348:W356" si="123">C348*$B348</f>
        <v>0.49</v>
      </c>
      <c r="O348" s="95">
        <f t="shared" si="123"/>
        <v>0.49</v>
      </c>
      <c r="P348" s="95">
        <f t="shared" si="123"/>
        <v>0.49</v>
      </c>
      <c r="Q348" s="95">
        <f t="shared" si="123"/>
        <v>0.49</v>
      </c>
      <c r="R348" s="95">
        <f t="shared" si="123"/>
        <v>0.49</v>
      </c>
      <c r="S348" s="95">
        <f t="shared" si="123"/>
        <v>0.49</v>
      </c>
      <c r="T348" s="95">
        <f t="shared" si="123"/>
        <v>0.49</v>
      </c>
      <c r="U348" s="95">
        <f t="shared" si="123"/>
        <v>0.49</v>
      </c>
      <c r="V348" s="95">
        <f t="shared" si="123"/>
        <v>0.49</v>
      </c>
      <c r="W348" s="95">
        <f t="shared" si="123"/>
        <v>0.49</v>
      </c>
      <c r="X348" s="283"/>
    </row>
    <row r="349" spans="1:24" s="8" customFormat="1" outlineLevel="2">
      <c r="A349" s="416">
        <f>D$52</f>
        <v>1</v>
      </c>
      <c r="B349" s="416">
        <f>B$52</f>
        <v>0.78</v>
      </c>
      <c r="C349" s="411">
        <f>IF(C$345&gt;$A349,$A349-$A348,C$345-SUM(C348:C$348))</f>
        <v>0.5</v>
      </c>
      <c r="D349" s="416">
        <f>IF(D$345&gt;$A349,$A349-$A348,D$345-SUM(D348:D$348))</f>
        <v>0.5</v>
      </c>
      <c r="E349" s="416">
        <f>IF(E$345&gt;$A349,$A349-$A348,E$345-SUM(E348:E$348))</f>
        <v>0.5</v>
      </c>
      <c r="F349" s="416">
        <f>IF(F$345&gt;$A349,$A349-$A348,F$345-SUM(F348:F$348))</f>
        <v>0.5</v>
      </c>
      <c r="G349" s="416">
        <f>IF(G$345&gt;$A349,$A349-$A348,G$345-SUM(G348:G$348))</f>
        <v>0.5</v>
      </c>
      <c r="H349" s="416">
        <f>IF(H$345&gt;$A349,$A349-$A348,H$345-SUM(H348:H$348))</f>
        <v>0.5</v>
      </c>
      <c r="I349" s="416">
        <f>IF(I$345&gt;$A349,$A349-$A348,I$345-SUM(I348:I$348))</f>
        <v>0.5</v>
      </c>
      <c r="J349" s="416">
        <f>IF(J$345&gt;$A349,$A349-$A348,J$345-SUM(J348:J$348))</f>
        <v>0.5</v>
      </c>
      <c r="K349" s="416">
        <f>IF(K$345&gt;$A349,$A349-$A348,K$345-SUM(K348:K$348))</f>
        <v>0.5</v>
      </c>
      <c r="L349" s="416">
        <f>IF(L$345&gt;$A349,$A349-$A348,L$345-SUM(L348:L$348))</f>
        <v>0.5</v>
      </c>
      <c r="M349" s="283"/>
      <c r="N349" s="405">
        <f t="shared" si="123"/>
        <v>0.39</v>
      </c>
      <c r="O349" s="95">
        <f t="shared" si="123"/>
        <v>0.39</v>
      </c>
      <c r="P349" s="95">
        <f t="shared" si="123"/>
        <v>0.39</v>
      </c>
      <c r="Q349" s="95">
        <f t="shared" si="123"/>
        <v>0.39</v>
      </c>
      <c r="R349" s="95">
        <f t="shared" si="123"/>
        <v>0.39</v>
      </c>
      <c r="S349" s="95">
        <f t="shared" si="123"/>
        <v>0.39</v>
      </c>
      <c r="T349" s="95">
        <f t="shared" si="123"/>
        <v>0.39</v>
      </c>
      <c r="U349" s="95">
        <f t="shared" si="123"/>
        <v>0.39</v>
      </c>
      <c r="V349" s="95">
        <f t="shared" si="123"/>
        <v>0.39</v>
      </c>
      <c r="W349" s="95">
        <f t="shared" si="123"/>
        <v>0.39</v>
      </c>
      <c r="X349" s="283"/>
    </row>
    <row r="350" spans="1:24" s="8" customFormat="1" outlineLevel="2">
      <c r="A350" s="416">
        <f>D$53</f>
        <v>2</v>
      </c>
      <c r="B350" s="416">
        <f>B$53</f>
        <v>0.68</v>
      </c>
      <c r="C350" s="411">
        <f>IF(C$345&gt;$A350,$A350-$A349,C$345-SUM(C$348:C349))</f>
        <v>1</v>
      </c>
      <c r="D350" s="416">
        <f>IF(D$345&gt;$A350,$A350-$A349,D$345-SUM(D$348:D349))</f>
        <v>1</v>
      </c>
      <c r="E350" s="416">
        <f>IF(E$345&gt;$A350,$A350-$A349,E$345-SUM(E$348:E349))</f>
        <v>1</v>
      </c>
      <c r="F350" s="416">
        <f>IF(F$345&gt;$A350,$A350-$A349,F$345-SUM(F$348:F349))</f>
        <v>1</v>
      </c>
      <c r="G350" s="416">
        <f>IF(G$345&gt;$A350,$A350-$A349,G$345-SUM(G$348:G349))</f>
        <v>1</v>
      </c>
      <c r="H350" s="416">
        <f>IF(H$345&gt;$A350,$A350-$A349,H$345-SUM(H$348:H349))</f>
        <v>1</v>
      </c>
      <c r="I350" s="416">
        <f>IF(I$345&gt;$A350,$A350-$A349,I$345-SUM(I$348:I349))</f>
        <v>1</v>
      </c>
      <c r="J350" s="416">
        <f>IF(J$345&gt;$A350,$A350-$A349,J$345-SUM(J$348:J349))</f>
        <v>1</v>
      </c>
      <c r="K350" s="416">
        <f>IF(K$345&gt;$A350,$A350-$A349,K$345-SUM(K$348:K349))</f>
        <v>1</v>
      </c>
      <c r="L350" s="416">
        <f>IF(L$345&gt;$A350,$A350-$A349,L$345-SUM(L$348:L349))</f>
        <v>1</v>
      </c>
      <c r="M350" s="283"/>
      <c r="N350" s="405">
        <f t="shared" si="123"/>
        <v>0.68</v>
      </c>
      <c r="O350" s="95">
        <f t="shared" si="123"/>
        <v>0.68</v>
      </c>
      <c r="P350" s="95">
        <f t="shared" si="123"/>
        <v>0.68</v>
      </c>
      <c r="Q350" s="95">
        <f t="shared" si="123"/>
        <v>0.68</v>
      </c>
      <c r="R350" s="95">
        <f t="shared" si="123"/>
        <v>0.68</v>
      </c>
      <c r="S350" s="95">
        <f t="shared" si="123"/>
        <v>0.68</v>
      </c>
      <c r="T350" s="95">
        <f t="shared" si="123"/>
        <v>0.68</v>
      </c>
      <c r="U350" s="95">
        <f t="shared" si="123"/>
        <v>0.68</v>
      </c>
      <c r="V350" s="95">
        <f t="shared" si="123"/>
        <v>0.68</v>
      </c>
      <c r="W350" s="95">
        <f t="shared" si="123"/>
        <v>0.68</v>
      </c>
      <c r="X350" s="283"/>
    </row>
    <row r="351" spans="1:24" s="8" customFormat="1" outlineLevel="2">
      <c r="A351" s="416">
        <f>D$54</f>
        <v>5</v>
      </c>
      <c r="B351" s="416">
        <f>B$54</f>
        <v>0.45</v>
      </c>
      <c r="C351" s="411">
        <f>IF(C$345&gt;$A351,$A351-$A350,C$345-SUM(C$348:C350))</f>
        <v>3</v>
      </c>
      <c r="D351" s="416">
        <f>IF(D$345&gt;$A351,$A351-$A350,D$345-SUM(D$348:D350))</f>
        <v>3</v>
      </c>
      <c r="E351" s="416">
        <f>IF(E$345&gt;$A351,$A351-$A350,E$345-SUM(E$348:E350))</f>
        <v>3</v>
      </c>
      <c r="F351" s="416">
        <f>IF(F$345&gt;$A351,$A351-$A350,F$345-SUM(F$348:F350))</f>
        <v>3</v>
      </c>
      <c r="G351" s="416">
        <f>IF(G$345&gt;$A351,$A351-$A350,G$345-SUM(G$348:G350))</f>
        <v>3</v>
      </c>
      <c r="H351" s="416">
        <f>IF(H$345&gt;$A351,$A351-$A350,H$345-SUM(H$348:H350))</f>
        <v>3</v>
      </c>
      <c r="I351" s="416">
        <f>IF(I$345&gt;$A351,$A351-$A350,I$345-SUM(I$348:I350))</f>
        <v>3</v>
      </c>
      <c r="J351" s="416">
        <f>IF(J$345&gt;$A351,$A351-$A350,J$345-SUM(J$348:J350))</f>
        <v>3</v>
      </c>
      <c r="K351" s="416">
        <f>IF(K$345&gt;$A351,$A351-$A350,K$345-SUM(K$348:K350))</f>
        <v>3</v>
      </c>
      <c r="L351" s="416">
        <f>IF(L$345&gt;$A351,$A351-$A350,L$345-SUM(L$348:L350))</f>
        <v>3</v>
      </c>
      <c r="M351" s="283"/>
      <c r="N351" s="405">
        <f t="shared" si="123"/>
        <v>1.35</v>
      </c>
      <c r="O351" s="95">
        <f t="shared" si="123"/>
        <v>1.35</v>
      </c>
      <c r="P351" s="95">
        <f t="shared" si="123"/>
        <v>1.35</v>
      </c>
      <c r="Q351" s="95">
        <f t="shared" si="123"/>
        <v>1.35</v>
      </c>
      <c r="R351" s="95">
        <f t="shared" si="123"/>
        <v>1.35</v>
      </c>
      <c r="S351" s="95">
        <f t="shared" si="123"/>
        <v>1.35</v>
      </c>
      <c r="T351" s="95">
        <f t="shared" si="123"/>
        <v>1.35</v>
      </c>
      <c r="U351" s="95">
        <f t="shared" si="123"/>
        <v>1.35</v>
      </c>
      <c r="V351" s="95">
        <f t="shared" si="123"/>
        <v>1.35</v>
      </c>
      <c r="W351" s="95">
        <f t="shared" si="123"/>
        <v>1.35</v>
      </c>
      <c r="X351" s="283"/>
    </row>
    <row r="352" spans="1:24" s="8" customFormat="1" outlineLevel="2">
      <c r="A352" s="416">
        <f>D$55</f>
        <v>10</v>
      </c>
      <c r="B352" s="416">
        <f>B$55</f>
        <v>0.42</v>
      </c>
      <c r="C352" s="411">
        <f>IF(C$345&gt;$A352,$A352-$A351,C$345-SUM(C$348:C351))</f>
        <v>4.1999999999999993</v>
      </c>
      <c r="D352" s="416">
        <f>IF(D$345&gt;$A352,$A352-$A351,D$345-SUM(D$348:D351))</f>
        <v>5</v>
      </c>
      <c r="E352" s="416">
        <f>IF(E$345&gt;$A352,$A352-$A351,E$345-SUM(E$348:E351))</f>
        <v>5</v>
      </c>
      <c r="F352" s="416">
        <f>IF(F$345&gt;$A352,$A352-$A351,F$345-SUM(F$348:F351))</f>
        <v>5</v>
      </c>
      <c r="G352" s="416">
        <f>IF(G$345&gt;$A352,$A352-$A351,G$345-SUM(G$348:G351))</f>
        <v>2.7</v>
      </c>
      <c r="H352" s="416">
        <f>IF(H$345&gt;$A352,$A352-$A351,H$345-SUM(H$348:H351))</f>
        <v>3.0999999999999996</v>
      </c>
      <c r="I352" s="416">
        <f>IF(I$345&gt;$A352,$A352-$A351,I$345-SUM(I$348:I351))</f>
        <v>3.6999999999999993</v>
      </c>
      <c r="J352" s="416">
        <f>IF(J$345&gt;$A352,$A352-$A351,J$345-SUM(J$348:J351))</f>
        <v>3.8000000000000007</v>
      </c>
      <c r="K352" s="416">
        <f>IF(K$345&gt;$A352,$A352-$A351,K$345-SUM(K$348:K351))</f>
        <v>3</v>
      </c>
      <c r="L352" s="416">
        <f>IF(L$345&gt;$A352,$A352-$A351,L$345-SUM(L$348:L351))</f>
        <v>2.2999999999999989</v>
      </c>
      <c r="M352" s="283"/>
      <c r="N352" s="405">
        <f t="shared" si="123"/>
        <v>1.7639999999999996</v>
      </c>
      <c r="O352" s="95">
        <f t="shared" si="123"/>
        <v>2.1</v>
      </c>
      <c r="P352" s="95">
        <f t="shared" si="123"/>
        <v>2.1</v>
      </c>
      <c r="Q352" s="95">
        <f t="shared" si="123"/>
        <v>2.1</v>
      </c>
      <c r="R352" s="95">
        <f t="shared" si="123"/>
        <v>1.1340000000000001</v>
      </c>
      <c r="S352" s="95">
        <f t="shared" si="123"/>
        <v>1.3019999999999998</v>
      </c>
      <c r="T352" s="95">
        <f t="shared" si="123"/>
        <v>1.5539999999999996</v>
      </c>
      <c r="U352" s="95">
        <f t="shared" si="123"/>
        <v>1.5960000000000003</v>
      </c>
      <c r="V352" s="95">
        <f t="shared" si="123"/>
        <v>1.26</v>
      </c>
      <c r="W352" s="95">
        <f t="shared" si="123"/>
        <v>0.96599999999999953</v>
      </c>
      <c r="X352" s="283"/>
    </row>
    <row r="353" spans="1:24" s="8" customFormat="1" outlineLevel="2">
      <c r="A353" s="416">
        <f>D$56</f>
        <v>20</v>
      </c>
      <c r="B353" s="416">
        <f>B$56</f>
        <v>0.22</v>
      </c>
      <c r="C353" s="411">
        <f>IF(C$345&gt;$A353,$A353-$A352,C$345-SUM(C$348:C352))</f>
        <v>0</v>
      </c>
      <c r="D353" s="416">
        <f>IF(D$345&gt;$A353,$A353-$A352,D$345-SUM(D$348:D352))</f>
        <v>0.59999999999999964</v>
      </c>
      <c r="E353" s="416">
        <f>IF(E$345&gt;$A353,$A353-$A352,E$345-SUM(E$348:E352))</f>
        <v>9.9999999999999645E-2</v>
      </c>
      <c r="F353" s="416">
        <f>IF(F$345&gt;$A353,$A353-$A352,F$345-SUM(F$348:F352))</f>
        <v>2.4000000000000004</v>
      </c>
      <c r="G353" s="416">
        <f>IF(G$345&gt;$A353,$A353-$A352,G$345-SUM(G$348:G352))</f>
        <v>0</v>
      </c>
      <c r="H353" s="416">
        <f>IF(H$345&gt;$A353,$A353-$A352,H$345-SUM(H$348:H352))</f>
        <v>0</v>
      </c>
      <c r="I353" s="416">
        <f>IF(I$345&gt;$A353,$A353-$A352,I$345-SUM(I$348:I352))</f>
        <v>0</v>
      </c>
      <c r="J353" s="416">
        <f>IF(J$345&gt;$A353,$A353-$A352,J$345-SUM(J$348:J352))</f>
        <v>0</v>
      </c>
      <c r="K353" s="416">
        <f>IF(K$345&gt;$A353,$A353-$A352,K$345-SUM(K$348:K352))</f>
        <v>0</v>
      </c>
      <c r="L353" s="416">
        <f>IF(L$345&gt;$A353,$A353-$A352,L$345-SUM(L$348:L352))</f>
        <v>0</v>
      </c>
      <c r="M353" s="283"/>
      <c r="N353" s="405">
        <f t="shared" si="123"/>
        <v>0</v>
      </c>
      <c r="O353" s="95">
        <f t="shared" si="123"/>
        <v>0.13199999999999992</v>
      </c>
      <c r="P353" s="95">
        <f t="shared" si="123"/>
        <v>2.1999999999999922E-2</v>
      </c>
      <c r="Q353" s="95">
        <f t="shared" si="123"/>
        <v>0.52800000000000014</v>
      </c>
      <c r="R353" s="95">
        <f t="shared" si="123"/>
        <v>0</v>
      </c>
      <c r="S353" s="95">
        <f t="shared" si="123"/>
        <v>0</v>
      </c>
      <c r="T353" s="95">
        <f t="shared" si="123"/>
        <v>0</v>
      </c>
      <c r="U353" s="95">
        <f t="shared" si="123"/>
        <v>0</v>
      </c>
      <c r="V353" s="95">
        <f t="shared" si="123"/>
        <v>0</v>
      </c>
      <c r="W353" s="95">
        <f t="shared" si="123"/>
        <v>0</v>
      </c>
      <c r="X353" s="283"/>
    </row>
    <row r="354" spans="1:24" s="8" customFormat="1" outlineLevel="2">
      <c r="A354" s="416">
        <f>D$57</f>
        <v>50</v>
      </c>
      <c r="B354" s="416">
        <f>B$57</f>
        <v>0.2</v>
      </c>
      <c r="C354" s="411">
        <f>IF(C$345&gt;$A354,$A354-$A353,C$345-SUM(C$348:C353))</f>
        <v>0</v>
      </c>
      <c r="D354" s="416">
        <f>IF(D$345&gt;$A354,$A354-$A353,D$345-SUM(D$348:D353))</f>
        <v>0</v>
      </c>
      <c r="E354" s="416">
        <f>IF(E$345&gt;$A354,$A354-$A353,E$345-SUM(E$348:E353))</f>
        <v>0</v>
      </c>
      <c r="F354" s="416">
        <f>IF(F$345&gt;$A354,$A354-$A353,F$345-SUM(F$348:F353))</f>
        <v>0</v>
      </c>
      <c r="G354" s="416">
        <f>IF(G$345&gt;$A354,$A354-$A353,G$345-SUM(G$348:G353))</f>
        <v>0</v>
      </c>
      <c r="H354" s="416">
        <f>IF(H$345&gt;$A354,$A354-$A353,H$345-SUM(H$348:H353))</f>
        <v>0</v>
      </c>
      <c r="I354" s="416">
        <f>IF(I$345&gt;$A354,$A354-$A353,I$345-SUM(I$348:I353))</f>
        <v>0</v>
      </c>
      <c r="J354" s="416">
        <f>IF(J$345&gt;$A354,$A354-$A353,J$345-SUM(J$348:J353))</f>
        <v>0</v>
      </c>
      <c r="K354" s="416">
        <f>IF(K$345&gt;$A354,$A354-$A353,K$345-SUM(K$348:K353))</f>
        <v>0</v>
      </c>
      <c r="L354" s="416">
        <f>IF(L$345&gt;$A354,$A354-$A353,L$345-SUM(L$348:L353))</f>
        <v>0</v>
      </c>
      <c r="M354" s="283"/>
      <c r="N354" s="405">
        <f t="shared" si="123"/>
        <v>0</v>
      </c>
      <c r="O354" s="95">
        <f t="shared" si="123"/>
        <v>0</v>
      </c>
      <c r="P354" s="95">
        <f t="shared" si="123"/>
        <v>0</v>
      </c>
      <c r="Q354" s="95">
        <f t="shared" si="123"/>
        <v>0</v>
      </c>
      <c r="R354" s="95">
        <f t="shared" si="123"/>
        <v>0</v>
      </c>
      <c r="S354" s="95">
        <f t="shared" si="123"/>
        <v>0</v>
      </c>
      <c r="T354" s="95">
        <f t="shared" si="123"/>
        <v>0</v>
      </c>
      <c r="U354" s="95">
        <f t="shared" si="123"/>
        <v>0</v>
      </c>
      <c r="V354" s="95">
        <f t="shared" si="123"/>
        <v>0</v>
      </c>
      <c r="W354" s="95">
        <f t="shared" si="123"/>
        <v>0</v>
      </c>
      <c r="X354" s="283"/>
    </row>
    <row r="355" spans="1:24" s="8" customFormat="1" outlineLevel="2">
      <c r="A355" s="416">
        <f>D$58</f>
        <v>75</v>
      </c>
      <c r="B355" s="416">
        <f>B$58</f>
        <v>0.15</v>
      </c>
      <c r="C355" s="411">
        <f>IF(C$345&gt;$A355,$A355-$A354,C$345-SUM(C$348:C354))</f>
        <v>0</v>
      </c>
      <c r="D355" s="416">
        <f>IF(D$345&gt;$A355,$A355-$A354,D$345-SUM(D$348:D354))</f>
        <v>0</v>
      </c>
      <c r="E355" s="416">
        <f>IF(E$345&gt;$A355,$A355-$A354,E$345-SUM(E$348:E354))</f>
        <v>0</v>
      </c>
      <c r="F355" s="416">
        <f>IF(F$345&gt;$A355,$A355-$A354,F$345-SUM(F$348:F354))</f>
        <v>0</v>
      </c>
      <c r="G355" s="416">
        <f>IF(G$345&gt;$A355,$A355-$A354,G$345-SUM(G$348:G354))</f>
        <v>0</v>
      </c>
      <c r="H355" s="416">
        <f>IF(H$345&gt;$A355,$A355-$A354,H$345-SUM(H$348:H354))</f>
        <v>0</v>
      </c>
      <c r="I355" s="416">
        <f>IF(I$345&gt;$A355,$A355-$A354,I$345-SUM(I$348:I354))</f>
        <v>0</v>
      </c>
      <c r="J355" s="416">
        <f>IF(J$345&gt;$A355,$A355-$A354,J$345-SUM(J$348:J354))</f>
        <v>0</v>
      </c>
      <c r="K355" s="416">
        <f>IF(K$345&gt;$A355,$A355-$A354,K$345-SUM(K$348:K354))</f>
        <v>0</v>
      </c>
      <c r="L355" s="416">
        <f>IF(L$345&gt;$A355,$A355-$A354,L$345-SUM(L$348:L354))</f>
        <v>0</v>
      </c>
      <c r="M355" s="283"/>
      <c r="N355" s="405">
        <f t="shared" si="123"/>
        <v>0</v>
      </c>
      <c r="O355" s="95">
        <f t="shared" si="123"/>
        <v>0</v>
      </c>
      <c r="P355" s="95">
        <f t="shared" si="123"/>
        <v>0</v>
      </c>
      <c r="Q355" s="95">
        <f t="shared" si="123"/>
        <v>0</v>
      </c>
      <c r="R355" s="95">
        <f t="shared" si="123"/>
        <v>0</v>
      </c>
      <c r="S355" s="95">
        <f t="shared" si="123"/>
        <v>0</v>
      </c>
      <c r="T355" s="95">
        <f t="shared" si="123"/>
        <v>0</v>
      </c>
      <c r="U355" s="95">
        <f t="shared" si="123"/>
        <v>0</v>
      </c>
      <c r="V355" s="95">
        <f t="shared" si="123"/>
        <v>0</v>
      </c>
      <c r="W355" s="95">
        <f t="shared" si="123"/>
        <v>0</v>
      </c>
      <c r="X355" s="283"/>
    </row>
    <row r="356" spans="1:24" s="8" customFormat="1" outlineLevel="2">
      <c r="A356" s="416">
        <f>D$59</f>
        <v>9999</v>
      </c>
      <c r="B356" s="416">
        <f>B$59</f>
        <v>0.1</v>
      </c>
      <c r="C356" s="411">
        <f>IF(C$345&gt;$A356,$A356-$A355,C$345-SUM(C$348:C355))</f>
        <v>0</v>
      </c>
      <c r="D356" s="416">
        <f>IF(D$345&gt;$A356,$A356-$A355,D$345-SUM(D$348:D355))</f>
        <v>0</v>
      </c>
      <c r="E356" s="416">
        <f>IF(E$345&gt;$A356,$A356-$A355,E$345-SUM(E$348:E355))</f>
        <v>0</v>
      </c>
      <c r="F356" s="416">
        <f>IF(F$345&gt;$A356,$A356-$A355,F$345-SUM(F$348:F355))</f>
        <v>0</v>
      </c>
      <c r="G356" s="416">
        <f>IF(G$345&gt;$A356,$A356-$A355,G$345-SUM(G$348:G355))</f>
        <v>0</v>
      </c>
      <c r="H356" s="416">
        <f>IF(H$345&gt;$A356,$A356-$A355,H$345-SUM(H$348:H355))</f>
        <v>0</v>
      </c>
      <c r="I356" s="416">
        <f>IF(I$345&gt;$A356,$A356-$A355,I$345-SUM(I$348:I355))</f>
        <v>0</v>
      </c>
      <c r="J356" s="416">
        <f>IF(J$345&gt;$A356,$A356-$A355,J$345-SUM(J$348:J355))</f>
        <v>0</v>
      </c>
      <c r="K356" s="416">
        <f>IF(K$345&gt;$A356,$A356-$A355,K$345-SUM(K$348:K355))</f>
        <v>0</v>
      </c>
      <c r="L356" s="416">
        <f>IF(L$345&gt;$A356,$A356-$A355,L$345-SUM(L$348:L355))</f>
        <v>0</v>
      </c>
      <c r="M356" s="283"/>
      <c r="N356" s="405">
        <f t="shared" si="123"/>
        <v>0</v>
      </c>
      <c r="O356" s="95">
        <f t="shared" si="123"/>
        <v>0</v>
      </c>
      <c r="P356" s="95">
        <f t="shared" si="123"/>
        <v>0</v>
      </c>
      <c r="Q356" s="95">
        <f t="shared" si="123"/>
        <v>0</v>
      </c>
      <c r="R356" s="95">
        <f t="shared" si="123"/>
        <v>0</v>
      </c>
      <c r="S356" s="95">
        <f t="shared" si="123"/>
        <v>0</v>
      </c>
      <c r="T356" s="95">
        <f t="shared" si="123"/>
        <v>0</v>
      </c>
      <c r="U356" s="95">
        <f t="shared" si="123"/>
        <v>0</v>
      </c>
      <c r="V356" s="95">
        <f t="shared" si="123"/>
        <v>0</v>
      </c>
      <c r="W356" s="95">
        <f t="shared" si="123"/>
        <v>0</v>
      </c>
      <c r="X356" s="283"/>
    </row>
    <row r="357" spans="1:24" s="8" customFormat="1" outlineLevel="1">
      <c r="A357" s="404"/>
      <c r="B357" s="417" t="str">
        <f>CONCATENATE(B344," Total")</f>
        <v>Kyocera Total</v>
      </c>
      <c r="C357" s="418">
        <f>SUM(C348:C356)</f>
        <v>9.1999999999999993</v>
      </c>
      <c r="D357" s="419">
        <f t="shared" ref="D357:L357" si="124">SUM(D348:D356)</f>
        <v>10.6</v>
      </c>
      <c r="E357" s="419">
        <f t="shared" si="124"/>
        <v>10.1</v>
      </c>
      <c r="F357" s="419">
        <f t="shared" si="124"/>
        <v>12.4</v>
      </c>
      <c r="G357" s="419">
        <f t="shared" si="124"/>
        <v>7.7</v>
      </c>
      <c r="H357" s="419">
        <f t="shared" si="124"/>
        <v>8.1</v>
      </c>
      <c r="I357" s="419">
        <f t="shared" si="124"/>
        <v>8.6999999999999993</v>
      </c>
      <c r="J357" s="419">
        <f t="shared" si="124"/>
        <v>8.8000000000000007</v>
      </c>
      <c r="K357" s="419">
        <f t="shared" si="124"/>
        <v>8</v>
      </c>
      <c r="L357" s="419">
        <f t="shared" si="124"/>
        <v>7.2999999999999989</v>
      </c>
      <c r="M357" s="283"/>
      <c r="N357" s="420">
        <f>SUM(N348:N356)</f>
        <v>4.6739999999999995</v>
      </c>
      <c r="O357" s="420">
        <f t="shared" ref="O357:W357" si="125">SUM(O348:O356)</f>
        <v>5.1419999999999995</v>
      </c>
      <c r="P357" s="420">
        <f t="shared" si="125"/>
        <v>5.032</v>
      </c>
      <c r="Q357" s="420">
        <f t="shared" si="125"/>
        <v>5.5380000000000003</v>
      </c>
      <c r="R357" s="420">
        <f t="shared" si="125"/>
        <v>4.0440000000000005</v>
      </c>
      <c r="S357" s="420">
        <f t="shared" si="125"/>
        <v>4.2119999999999997</v>
      </c>
      <c r="T357" s="420">
        <f t="shared" si="125"/>
        <v>4.4639999999999995</v>
      </c>
      <c r="U357" s="420">
        <f t="shared" si="125"/>
        <v>4.5060000000000002</v>
      </c>
      <c r="V357" s="420">
        <f t="shared" si="125"/>
        <v>4.17</v>
      </c>
      <c r="W357" s="420">
        <f t="shared" si="125"/>
        <v>3.8759999999999994</v>
      </c>
      <c r="X357" s="283"/>
    </row>
    <row r="358" spans="1:24" s="8" customFormat="1" outlineLevel="1">
      <c r="B358" s="421" t="s">
        <v>778</v>
      </c>
      <c r="C358" s="422">
        <f t="shared" ref="C358:L358" si="126">C357-C345</f>
        <v>0</v>
      </c>
      <c r="D358" s="423">
        <f t="shared" si="126"/>
        <v>0</v>
      </c>
      <c r="E358" s="423">
        <f t="shared" si="126"/>
        <v>0</v>
      </c>
      <c r="F358" s="423">
        <f t="shared" si="126"/>
        <v>0</v>
      </c>
      <c r="G358" s="423">
        <f t="shared" si="126"/>
        <v>0</v>
      </c>
      <c r="H358" s="423">
        <f t="shared" si="126"/>
        <v>0</v>
      </c>
      <c r="I358" s="423">
        <f t="shared" si="126"/>
        <v>0</v>
      </c>
      <c r="J358" s="423">
        <f t="shared" si="126"/>
        <v>0</v>
      </c>
      <c r="K358" s="423">
        <f t="shared" si="126"/>
        <v>0</v>
      </c>
      <c r="L358" s="423">
        <f t="shared" si="126"/>
        <v>0</v>
      </c>
      <c r="M358" s="283"/>
      <c r="N358" s="283"/>
      <c r="O358" s="283"/>
      <c r="P358" s="283"/>
      <c r="Q358" s="283"/>
      <c r="R358" s="283"/>
      <c r="S358" s="283"/>
      <c r="T358" s="283"/>
      <c r="U358" s="283"/>
      <c r="V358" s="283"/>
      <c r="W358" s="283"/>
      <c r="X358" s="283"/>
    </row>
    <row r="359" spans="1:24" s="8" customFormat="1" outlineLevel="1">
      <c r="M359" s="283"/>
      <c r="X359" s="283"/>
    </row>
    <row r="360" spans="1:24" s="8" customFormat="1" outlineLevel="1" collapsed="1">
      <c r="A360" s="8">
        <f>A344+1</f>
        <v>12</v>
      </c>
      <c r="B360" s="424" t="str">
        <f>A151</f>
        <v>Lenovo</v>
      </c>
      <c r="C360" s="80">
        <v>2007</v>
      </c>
      <c r="D360" s="66">
        <f>C360+1</f>
        <v>2008</v>
      </c>
      <c r="E360" s="66">
        <f t="shared" ref="E360:L360" si="127">D360+1</f>
        <v>2009</v>
      </c>
      <c r="F360" s="66">
        <f t="shared" si="127"/>
        <v>2010</v>
      </c>
      <c r="G360" s="66">
        <f t="shared" si="127"/>
        <v>2011</v>
      </c>
      <c r="H360" s="66">
        <f t="shared" si="127"/>
        <v>2012</v>
      </c>
      <c r="I360" s="66">
        <f t="shared" si="127"/>
        <v>2013</v>
      </c>
      <c r="J360" s="66">
        <f t="shared" si="127"/>
        <v>2014</v>
      </c>
      <c r="K360" s="66">
        <f t="shared" si="127"/>
        <v>2015</v>
      </c>
      <c r="L360" s="66">
        <f t="shared" si="127"/>
        <v>2016</v>
      </c>
      <c r="M360" s="283"/>
      <c r="N360" s="168">
        <f t="shared" ref="N360:W360" si="128">C360</f>
        <v>2007</v>
      </c>
      <c r="O360" s="66">
        <f t="shared" si="128"/>
        <v>2008</v>
      </c>
      <c r="P360" s="66">
        <f t="shared" si="128"/>
        <v>2009</v>
      </c>
      <c r="Q360" s="66">
        <f t="shared" si="128"/>
        <v>2010</v>
      </c>
      <c r="R360" s="66">
        <f t="shared" si="128"/>
        <v>2011</v>
      </c>
      <c r="S360" s="66">
        <f t="shared" si="128"/>
        <v>2012</v>
      </c>
      <c r="T360" s="66">
        <f t="shared" si="128"/>
        <v>2013</v>
      </c>
      <c r="U360" s="66">
        <f t="shared" si="128"/>
        <v>2014</v>
      </c>
      <c r="V360" s="66">
        <f t="shared" si="128"/>
        <v>2015</v>
      </c>
      <c r="W360" s="66">
        <f t="shared" si="128"/>
        <v>2016</v>
      </c>
      <c r="X360" s="283"/>
    </row>
    <row r="361" spans="1:24" s="8" customFormat="1" outlineLevel="2">
      <c r="B361" s="8" t="s">
        <v>1348</v>
      </c>
      <c r="C361" s="411">
        <f t="shared" ref="C361:L361" si="129">VLOOKUP($B360,$A$140:$K$175,C$183+1,FALSE)</f>
        <v>7.1</v>
      </c>
      <c r="D361" s="412">
        <f t="shared" si="129"/>
        <v>6</v>
      </c>
      <c r="E361" s="412">
        <f t="shared" si="129"/>
        <v>6.6</v>
      </c>
      <c r="F361" s="412">
        <f t="shared" si="129"/>
        <v>8.7000000000000011</v>
      </c>
      <c r="G361" s="412">
        <f t="shared" si="129"/>
        <v>14.764104</v>
      </c>
      <c r="H361" s="412">
        <f t="shared" si="129"/>
        <v>31.300769000000003</v>
      </c>
      <c r="I361" s="412">
        <f t="shared" si="129"/>
        <v>53.781733000000003</v>
      </c>
      <c r="J361" s="412">
        <f t="shared" si="129"/>
        <v>70.661805000000001</v>
      </c>
      <c r="K361" s="412">
        <f t="shared" si="129"/>
        <v>85.240313000000015</v>
      </c>
      <c r="L361" s="412">
        <f t="shared" si="129"/>
        <v>61.968722</v>
      </c>
      <c r="M361" s="283"/>
      <c r="N361" s="283"/>
      <c r="X361" s="283"/>
    </row>
    <row r="362" spans="1:24" s="8" customFormat="1" outlineLevel="2">
      <c r="C362" s="413"/>
      <c r="D362" s="414"/>
      <c r="E362" s="414"/>
      <c r="F362" s="414"/>
      <c r="G362" s="414"/>
      <c r="H362" s="414"/>
      <c r="I362" s="414"/>
      <c r="J362" s="414"/>
      <c r="K362" s="414"/>
      <c r="L362" s="414"/>
      <c r="M362" s="283"/>
      <c r="N362" s="283"/>
      <c r="X362" s="283"/>
    </row>
    <row r="363" spans="1:24" s="8" customFormat="1" outlineLevel="2">
      <c r="A363" s="66" t="s">
        <v>1349</v>
      </c>
      <c r="B363" s="66" t="s">
        <v>1350</v>
      </c>
      <c r="C363" s="415"/>
      <c r="F363" s="9"/>
      <c r="M363" s="283"/>
      <c r="N363" s="283"/>
      <c r="X363" s="283"/>
    </row>
    <row r="364" spans="1:24" s="8" customFormat="1" outlineLevel="2">
      <c r="A364" s="416">
        <f>D$51</f>
        <v>0.5</v>
      </c>
      <c r="B364" s="416">
        <f>B$51</f>
        <v>0.98</v>
      </c>
      <c r="C364" s="411">
        <f>IF(C$361&gt;$A364,$A364,C$361)</f>
        <v>0.5</v>
      </c>
      <c r="D364" s="416">
        <f t="shared" ref="D364:L364" si="130">IF(D$361&gt;$A364,$A364,D$361)</f>
        <v>0.5</v>
      </c>
      <c r="E364" s="416">
        <f t="shared" si="130"/>
        <v>0.5</v>
      </c>
      <c r="F364" s="416">
        <f t="shared" si="130"/>
        <v>0.5</v>
      </c>
      <c r="G364" s="416">
        <f t="shared" si="130"/>
        <v>0.5</v>
      </c>
      <c r="H364" s="416">
        <f t="shared" si="130"/>
        <v>0.5</v>
      </c>
      <c r="I364" s="416">
        <f t="shared" si="130"/>
        <v>0.5</v>
      </c>
      <c r="J364" s="416">
        <f t="shared" si="130"/>
        <v>0.5</v>
      </c>
      <c r="K364" s="416">
        <f t="shared" si="130"/>
        <v>0.5</v>
      </c>
      <c r="L364" s="416">
        <f t="shared" si="130"/>
        <v>0.5</v>
      </c>
      <c r="M364" s="283"/>
      <c r="N364" s="405">
        <f t="shared" ref="N364:W372" si="131">C364*$B364</f>
        <v>0.49</v>
      </c>
      <c r="O364" s="95">
        <f t="shared" si="131"/>
        <v>0.49</v>
      </c>
      <c r="P364" s="95">
        <f t="shared" si="131"/>
        <v>0.49</v>
      </c>
      <c r="Q364" s="95">
        <f t="shared" si="131"/>
        <v>0.49</v>
      </c>
      <c r="R364" s="95">
        <f t="shared" si="131"/>
        <v>0.49</v>
      </c>
      <c r="S364" s="95">
        <f t="shared" si="131"/>
        <v>0.49</v>
      </c>
      <c r="T364" s="95">
        <f t="shared" si="131"/>
        <v>0.49</v>
      </c>
      <c r="U364" s="95">
        <f t="shared" si="131"/>
        <v>0.49</v>
      </c>
      <c r="V364" s="95">
        <f t="shared" si="131"/>
        <v>0.49</v>
      </c>
      <c r="W364" s="95">
        <f t="shared" si="131"/>
        <v>0.49</v>
      </c>
      <c r="X364" s="283"/>
    </row>
    <row r="365" spans="1:24" s="8" customFormat="1" outlineLevel="2">
      <c r="A365" s="416">
        <f>D$52</f>
        <v>1</v>
      </c>
      <c r="B365" s="416">
        <f>B$52</f>
        <v>0.78</v>
      </c>
      <c r="C365" s="411">
        <f>IF(C$361&gt;$A365,$A365-$A364,C$361-SUM(C364:C$364))</f>
        <v>0.5</v>
      </c>
      <c r="D365" s="416">
        <f>IF(D$361&gt;$A365,$A365-$A364,D$361-SUM(D364:D$364))</f>
        <v>0.5</v>
      </c>
      <c r="E365" s="416">
        <f>IF(E$361&gt;$A365,$A365-$A364,E$361-SUM(E364:E$364))</f>
        <v>0.5</v>
      </c>
      <c r="F365" s="416">
        <f>IF(F$361&gt;$A365,$A365-$A364,F$361-SUM(F364:F$364))</f>
        <v>0.5</v>
      </c>
      <c r="G365" s="416">
        <f>IF(G$361&gt;$A365,$A365-$A364,G$361-SUM(G364:G$364))</f>
        <v>0.5</v>
      </c>
      <c r="H365" s="416">
        <f>IF(H$361&gt;$A365,$A365-$A364,H$361-SUM(H364:H$364))</f>
        <v>0.5</v>
      </c>
      <c r="I365" s="416">
        <f>IF(I$361&gt;$A365,$A365-$A364,I$361-SUM(I364:I$364))</f>
        <v>0.5</v>
      </c>
      <c r="J365" s="416">
        <f>IF(J$361&gt;$A365,$A365-$A364,J$361-SUM(J364:J$364))</f>
        <v>0.5</v>
      </c>
      <c r="K365" s="416">
        <f>IF(K$361&gt;$A365,$A365-$A364,K$361-SUM(K364:K$364))</f>
        <v>0.5</v>
      </c>
      <c r="L365" s="416">
        <f>IF(L$361&gt;$A365,$A365-$A364,L$361-SUM(L364:L$364))</f>
        <v>0.5</v>
      </c>
      <c r="M365" s="283"/>
      <c r="N365" s="405">
        <f t="shared" si="131"/>
        <v>0.39</v>
      </c>
      <c r="O365" s="95">
        <f t="shared" si="131"/>
        <v>0.39</v>
      </c>
      <c r="P365" s="95">
        <f t="shared" si="131"/>
        <v>0.39</v>
      </c>
      <c r="Q365" s="95">
        <f t="shared" si="131"/>
        <v>0.39</v>
      </c>
      <c r="R365" s="95">
        <f t="shared" si="131"/>
        <v>0.39</v>
      </c>
      <c r="S365" s="95">
        <f t="shared" si="131"/>
        <v>0.39</v>
      </c>
      <c r="T365" s="95">
        <f t="shared" si="131"/>
        <v>0.39</v>
      </c>
      <c r="U365" s="95">
        <f t="shared" si="131"/>
        <v>0.39</v>
      </c>
      <c r="V365" s="95">
        <f t="shared" si="131"/>
        <v>0.39</v>
      </c>
      <c r="W365" s="95">
        <f t="shared" si="131"/>
        <v>0.39</v>
      </c>
      <c r="X365" s="283"/>
    </row>
    <row r="366" spans="1:24" s="8" customFormat="1" outlineLevel="2">
      <c r="A366" s="416">
        <f>D$53</f>
        <v>2</v>
      </c>
      <c r="B366" s="416">
        <f>B$53</f>
        <v>0.68</v>
      </c>
      <c r="C366" s="411">
        <f>IF(C$361&gt;$A366,$A366-$A365,C$361-SUM(C$364:C365))</f>
        <v>1</v>
      </c>
      <c r="D366" s="416">
        <f>IF(D$361&gt;$A366,$A366-$A365,D$361-SUM(D$364:D365))</f>
        <v>1</v>
      </c>
      <c r="E366" s="416">
        <f>IF(E$361&gt;$A366,$A366-$A365,E$361-SUM(E$364:E365))</f>
        <v>1</v>
      </c>
      <c r="F366" s="416">
        <f>IF(F$361&gt;$A366,$A366-$A365,F$361-SUM(F$364:F365))</f>
        <v>1</v>
      </c>
      <c r="G366" s="416">
        <f>IF(G$361&gt;$A366,$A366-$A365,G$361-SUM(G$364:G365))</f>
        <v>1</v>
      </c>
      <c r="H366" s="416">
        <f>IF(H$361&gt;$A366,$A366-$A365,H$361-SUM(H$364:H365))</f>
        <v>1</v>
      </c>
      <c r="I366" s="416">
        <f>IF(I$361&gt;$A366,$A366-$A365,I$361-SUM(I$364:I365))</f>
        <v>1</v>
      </c>
      <c r="J366" s="416">
        <f>IF(J$361&gt;$A366,$A366-$A365,J$361-SUM(J$364:J365))</f>
        <v>1</v>
      </c>
      <c r="K366" s="416">
        <f>IF(K$361&gt;$A366,$A366-$A365,K$361-SUM(K$364:K365))</f>
        <v>1</v>
      </c>
      <c r="L366" s="416">
        <f>IF(L$361&gt;$A366,$A366-$A365,L$361-SUM(L$364:L365))</f>
        <v>1</v>
      </c>
      <c r="M366" s="283"/>
      <c r="N366" s="405">
        <f t="shared" si="131"/>
        <v>0.68</v>
      </c>
      <c r="O366" s="95">
        <f t="shared" si="131"/>
        <v>0.68</v>
      </c>
      <c r="P366" s="95">
        <f t="shared" si="131"/>
        <v>0.68</v>
      </c>
      <c r="Q366" s="95">
        <f t="shared" si="131"/>
        <v>0.68</v>
      </c>
      <c r="R366" s="95">
        <f t="shared" si="131"/>
        <v>0.68</v>
      </c>
      <c r="S366" s="95">
        <f t="shared" si="131"/>
        <v>0.68</v>
      </c>
      <c r="T366" s="95">
        <f t="shared" si="131"/>
        <v>0.68</v>
      </c>
      <c r="U366" s="95">
        <f t="shared" si="131"/>
        <v>0.68</v>
      </c>
      <c r="V366" s="95">
        <f t="shared" si="131"/>
        <v>0.68</v>
      </c>
      <c r="W366" s="95">
        <f t="shared" si="131"/>
        <v>0.68</v>
      </c>
      <c r="X366" s="283"/>
    </row>
    <row r="367" spans="1:24" s="8" customFormat="1" outlineLevel="2">
      <c r="A367" s="416">
        <f>D$54</f>
        <v>5</v>
      </c>
      <c r="B367" s="416">
        <f>B$54</f>
        <v>0.45</v>
      </c>
      <c r="C367" s="411">
        <f>IF(C$361&gt;$A367,$A367-$A366,C$361-SUM(C$364:C366))</f>
        <v>3</v>
      </c>
      <c r="D367" s="416">
        <f>IF(D$361&gt;$A367,$A367-$A366,D$361-SUM(D$364:D366))</f>
        <v>3</v>
      </c>
      <c r="E367" s="416">
        <f>IF(E$361&gt;$A367,$A367-$A366,E$361-SUM(E$364:E366))</f>
        <v>3</v>
      </c>
      <c r="F367" s="416">
        <f>IF(F$361&gt;$A367,$A367-$A366,F$361-SUM(F$364:F366))</f>
        <v>3</v>
      </c>
      <c r="G367" s="416">
        <f>IF(G$361&gt;$A367,$A367-$A366,G$361-SUM(G$364:G366))</f>
        <v>3</v>
      </c>
      <c r="H367" s="416">
        <f>IF(H$361&gt;$A367,$A367-$A366,H$361-SUM(H$364:H366))</f>
        <v>3</v>
      </c>
      <c r="I367" s="416">
        <f>IF(I$361&gt;$A367,$A367-$A366,I$361-SUM(I$364:I366))</f>
        <v>3</v>
      </c>
      <c r="J367" s="416">
        <f>IF(J$361&gt;$A367,$A367-$A366,J$361-SUM(J$364:J366))</f>
        <v>3</v>
      </c>
      <c r="K367" s="416">
        <f>IF(K$361&gt;$A367,$A367-$A366,K$361-SUM(K$364:K366))</f>
        <v>3</v>
      </c>
      <c r="L367" s="416">
        <f>IF(L$361&gt;$A367,$A367-$A366,L$361-SUM(L$364:L366))</f>
        <v>3</v>
      </c>
      <c r="M367" s="283"/>
      <c r="N367" s="405">
        <f t="shared" si="131"/>
        <v>1.35</v>
      </c>
      <c r="O367" s="95">
        <f t="shared" si="131"/>
        <v>1.35</v>
      </c>
      <c r="P367" s="95">
        <f t="shared" si="131"/>
        <v>1.35</v>
      </c>
      <c r="Q367" s="95">
        <f t="shared" si="131"/>
        <v>1.35</v>
      </c>
      <c r="R367" s="95">
        <f t="shared" si="131"/>
        <v>1.35</v>
      </c>
      <c r="S367" s="95">
        <f t="shared" si="131"/>
        <v>1.35</v>
      </c>
      <c r="T367" s="95">
        <f t="shared" si="131"/>
        <v>1.35</v>
      </c>
      <c r="U367" s="95">
        <f t="shared" si="131"/>
        <v>1.35</v>
      </c>
      <c r="V367" s="95">
        <f t="shared" si="131"/>
        <v>1.35</v>
      </c>
      <c r="W367" s="95">
        <f t="shared" si="131"/>
        <v>1.35</v>
      </c>
      <c r="X367" s="283"/>
    </row>
    <row r="368" spans="1:24" s="8" customFormat="1" outlineLevel="2">
      <c r="A368" s="416">
        <f>D$55</f>
        <v>10</v>
      </c>
      <c r="B368" s="416">
        <f>B$55</f>
        <v>0.42</v>
      </c>
      <c r="C368" s="411">
        <f>IF(C$361&gt;$A368,$A368-$A367,C$361-SUM(C$364:C367))</f>
        <v>2.0999999999999996</v>
      </c>
      <c r="D368" s="416">
        <f>IF(D$361&gt;$A368,$A368-$A367,D$361-SUM(D$364:D367))</f>
        <v>1</v>
      </c>
      <c r="E368" s="416">
        <f>IF(E$361&gt;$A368,$A368-$A367,E$361-SUM(E$364:E367))</f>
        <v>1.5999999999999996</v>
      </c>
      <c r="F368" s="416">
        <f>IF(F$361&gt;$A368,$A368-$A367,F$361-SUM(F$364:F367))</f>
        <v>3.7000000000000011</v>
      </c>
      <c r="G368" s="416">
        <f>IF(G$361&gt;$A368,$A368-$A367,G$361-SUM(G$364:G367))</f>
        <v>5</v>
      </c>
      <c r="H368" s="416">
        <f>IF(H$361&gt;$A368,$A368-$A367,H$361-SUM(H$364:H367))</f>
        <v>5</v>
      </c>
      <c r="I368" s="416">
        <f>IF(I$361&gt;$A368,$A368-$A367,I$361-SUM(I$364:I367))</f>
        <v>5</v>
      </c>
      <c r="J368" s="416">
        <f>IF(J$361&gt;$A368,$A368-$A367,J$361-SUM(J$364:J367))</f>
        <v>5</v>
      </c>
      <c r="K368" s="416">
        <f>IF(K$361&gt;$A368,$A368-$A367,K$361-SUM(K$364:K367))</f>
        <v>5</v>
      </c>
      <c r="L368" s="416">
        <f>IF(L$361&gt;$A368,$A368-$A367,L$361-SUM(L$364:L367))</f>
        <v>5</v>
      </c>
      <c r="M368" s="283"/>
      <c r="N368" s="405">
        <f t="shared" si="131"/>
        <v>0.88199999999999978</v>
      </c>
      <c r="O368" s="95">
        <f t="shared" si="131"/>
        <v>0.42</v>
      </c>
      <c r="P368" s="95">
        <f t="shared" si="131"/>
        <v>0.67199999999999982</v>
      </c>
      <c r="Q368" s="95">
        <f t="shared" si="131"/>
        <v>1.5540000000000005</v>
      </c>
      <c r="R368" s="95">
        <f t="shared" si="131"/>
        <v>2.1</v>
      </c>
      <c r="S368" s="95">
        <f t="shared" si="131"/>
        <v>2.1</v>
      </c>
      <c r="T368" s="95">
        <f t="shared" si="131"/>
        <v>2.1</v>
      </c>
      <c r="U368" s="95">
        <f t="shared" si="131"/>
        <v>2.1</v>
      </c>
      <c r="V368" s="95">
        <f t="shared" si="131"/>
        <v>2.1</v>
      </c>
      <c r="W368" s="95">
        <f t="shared" si="131"/>
        <v>2.1</v>
      </c>
      <c r="X368" s="283"/>
    </row>
    <row r="369" spans="1:24" s="8" customFormat="1" outlineLevel="2">
      <c r="A369" s="416">
        <f>D$56</f>
        <v>20</v>
      </c>
      <c r="B369" s="416">
        <f>B$56</f>
        <v>0.22</v>
      </c>
      <c r="C369" s="411">
        <f>IF(C$361&gt;$A369,$A369-$A368,C$361-SUM(C$364:C368))</f>
        <v>0</v>
      </c>
      <c r="D369" s="416">
        <f>IF(D$361&gt;$A369,$A369-$A368,D$361-SUM(D$364:D368))</f>
        <v>0</v>
      </c>
      <c r="E369" s="416">
        <f>IF(E$361&gt;$A369,$A369-$A368,E$361-SUM(E$364:E368))</f>
        <v>0</v>
      </c>
      <c r="F369" s="416">
        <f>IF(F$361&gt;$A369,$A369-$A368,F$361-SUM(F$364:F368))</f>
        <v>0</v>
      </c>
      <c r="G369" s="416">
        <f>IF(G$361&gt;$A369,$A369-$A368,G$361-SUM(G$364:G368))</f>
        <v>4.7641039999999997</v>
      </c>
      <c r="H369" s="416">
        <f>IF(H$361&gt;$A369,$A369-$A368,H$361-SUM(H$364:H368))</f>
        <v>10</v>
      </c>
      <c r="I369" s="416">
        <f>IF(I$361&gt;$A369,$A369-$A368,I$361-SUM(I$364:I368))</f>
        <v>10</v>
      </c>
      <c r="J369" s="416">
        <f>IF(J$361&gt;$A369,$A369-$A368,J$361-SUM(J$364:J368))</f>
        <v>10</v>
      </c>
      <c r="K369" s="416">
        <f>IF(K$361&gt;$A369,$A369-$A368,K$361-SUM(K$364:K368))</f>
        <v>10</v>
      </c>
      <c r="L369" s="416">
        <f>IF(L$361&gt;$A369,$A369-$A368,L$361-SUM(L$364:L368))</f>
        <v>10</v>
      </c>
      <c r="M369" s="283"/>
      <c r="N369" s="405">
        <f t="shared" si="131"/>
        <v>0</v>
      </c>
      <c r="O369" s="95">
        <f t="shared" si="131"/>
        <v>0</v>
      </c>
      <c r="P369" s="95">
        <f t="shared" si="131"/>
        <v>0</v>
      </c>
      <c r="Q369" s="95">
        <f t="shared" si="131"/>
        <v>0</v>
      </c>
      <c r="R369" s="95">
        <f t="shared" si="131"/>
        <v>1.0481028799999998</v>
      </c>
      <c r="S369" s="95">
        <f t="shared" si="131"/>
        <v>2.2000000000000002</v>
      </c>
      <c r="T369" s="95">
        <f t="shared" si="131"/>
        <v>2.2000000000000002</v>
      </c>
      <c r="U369" s="95">
        <f t="shared" si="131"/>
        <v>2.2000000000000002</v>
      </c>
      <c r="V369" s="95">
        <f t="shared" si="131"/>
        <v>2.2000000000000002</v>
      </c>
      <c r="W369" s="95">
        <f t="shared" si="131"/>
        <v>2.2000000000000002</v>
      </c>
      <c r="X369" s="283"/>
    </row>
    <row r="370" spans="1:24" s="8" customFormat="1" outlineLevel="2">
      <c r="A370" s="416">
        <f>D$57</f>
        <v>50</v>
      </c>
      <c r="B370" s="416">
        <f>B$57</f>
        <v>0.2</v>
      </c>
      <c r="C370" s="411">
        <f>IF(C$361&gt;$A370,$A370-$A369,C$361-SUM(C$364:C369))</f>
        <v>0</v>
      </c>
      <c r="D370" s="416">
        <f>IF(D$361&gt;$A370,$A370-$A369,D$361-SUM(D$364:D369))</f>
        <v>0</v>
      </c>
      <c r="E370" s="416">
        <f>IF(E$361&gt;$A370,$A370-$A369,E$361-SUM(E$364:E369))</f>
        <v>0</v>
      </c>
      <c r="F370" s="416">
        <f>IF(F$361&gt;$A370,$A370-$A369,F$361-SUM(F$364:F369))</f>
        <v>0</v>
      </c>
      <c r="G370" s="416">
        <f>IF(G$361&gt;$A370,$A370-$A369,G$361-SUM(G$364:G369))</f>
        <v>0</v>
      </c>
      <c r="H370" s="416">
        <f>IF(H$361&gt;$A370,$A370-$A369,H$361-SUM(H$364:H369))</f>
        <v>11.300769000000003</v>
      </c>
      <c r="I370" s="416">
        <f>IF(I$361&gt;$A370,$A370-$A369,I$361-SUM(I$364:I369))</f>
        <v>30</v>
      </c>
      <c r="J370" s="416">
        <f>IF(J$361&gt;$A370,$A370-$A369,J$361-SUM(J$364:J369))</f>
        <v>30</v>
      </c>
      <c r="K370" s="416">
        <f>IF(K$361&gt;$A370,$A370-$A369,K$361-SUM(K$364:K369))</f>
        <v>30</v>
      </c>
      <c r="L370" s="416">
        <f>IF(L$361&gt;$A370,$A370-$A369,L$361-SUM(L$364:L369))</f>
        <v>30</v>
      </c>
      <c r="M370" s="283"/>
      <c r="N370" s="405">
        <f t="shared" si="131"/>
        <v>0</v>
      </c>
      <c r="O370" s="95">
        <f t="shared" si="131"/>
        <v>0</v>
      </c>
      <c r="P370" s="95">
        <f t="shared" si="131"/>
        <v>0</v>
      </c>
      <c r="Q370" s="95">
        <f t="shared" si="131"/>
        <v>0</v>
      </c>
      <c r="R370" s="95">
        <f t="shared" si="131"/>
        <v>0</v>
      </c>
      <c r="S370" s="95">
        <f t="shared" si="131"/>
        <v>2.2601538000000008</v>
      </c>
      <c r="T370" s="95">
        <f t="shared" si="131"/>
        <v>6</v>
      </c>
      <c r="U370" s="95">
        <f t="shared" si="131"/>
        <v>6</v>
      </c>
      <c r="V370" s="95">
        <f t="shared" si="131"/>
        <v>6</v>
      </c>
      <c r="W370" s="95">
        <f t="shared" si="131"/>
        <v>6</v>
      </c>
      <c r="X370" s="283"/>
    </row>
    <row r="371" spans="1:24" s="8" customFormat="1" outlineLevel="2">
      <c r="A371" s="416">
        <f>D$58</f>
        <v>75</v>
      </c>
      <c r="B371" s="416">
        <f>B$58</f>
        <v>0.15</v>
      </c>
      <c r="C371" s="411">
        <f>IF(C$361&gt;$A371,$A371-$A370,C$361-SUM(C$364:C370))</f>
        <v>0</v>
      </c>
      <c r="D371" s="416">
        <f>IF(D$361&gt;$A371,$A371-$A370,D$361-SUM(D$364:D370))</f>
        <v>0</v>
      </c>
      <c r="E371" s="416">
        <f>IF(E$361&gt;$A371,$A371-$A370,E$361-SUM(E$364:E370))</f>
        <v>0</v>
      </c>
      <c r="F371" s="416">
        <f>IF(F$361&gt;$A371,$A371-$A370,F$361-SUM(F$364:F370))</f>
        <v>0</v>
      </c>
      <c r="G371" s="416">
        <f>IF(G$361&gt;$A371,$A371-$A370,G$361-SUM(G$364:G370))</f>
        <v>0</v>
      </c>
      <c r="H371" s="416">
        <f>IF(H$361&gt;$A371,$A371-$A370,H$361-SUM(H$364:H370))</f>
        <v>0</v>
      </c>
      <c r="I371" s="416">
        <f>IF(I$361&gt;$A371,$A371-$A370,I$361-SUM(I$364:I370))</f>
        <v>3.7817330000000027</v>
      </c>
      <c r="J371" s="416">
        <f>IF(J$361&gt;$A371,$A371-$A370,J$361-SUM(J$364:J370))</f>
        <v>20.661805000000001</v>
      </c>
      <c r="K371" s="416">
        <f>IF(K$361&gt;$A371,$A371-$A370,K$361-SUM(K$364:K370))</f>
        <v>25</v>
      </c>
      <c r="L371" s="416">
        <f>IF(L$361&gt;$A371,$A371-$A370,L$361-SUM(L$364:L370))</f>
        <v>11.968722</v>
      </c>
      <c r="M371" s="283"/>
      <c r="N371" s="405">
        <f t="shared" si="131"/>
        <v>0</v>
      </c>
      <c r="O371" s="95">
        <f t="shared" si="131"/>
        <v>0</v>
      </c>
      <c r="P371" s="95">
        <f t="shared" si="131"/>
        <v>0</v>
      </c>
      <c r="Q371" s="95">
        <f t="shared" si="131"/>
        <v>0</v>
      </c>
      <c r="R371" s="95">
        <f t="shared" si="131"/>
        <v>0</v>
      </c>
      <c r="S371" s="95">
        <f t="shared" si="131"/>
        <v>0</v>
      </c>
      <c r="T371" s="95">
        <f t="shared" si="131"/>
        <v>0.5672599500000004</v>
      </c>
      <c r="U371" s="95">
        <f t="shared" si="131"/>
        <v>3.0992707500000001</v>
      </c>
      <c r="V371" s="95">
        <f t="shared" si="131"/>
        <v>3.75</v>
      </c>
      <c r="W371" s="95">
        <f t="shared" si="131"/>
        <v>1.7953082999999999</v>
      </c>
      <c r="X371" s="283"/>
    </row>
    <row r="372" spans="1:24" s="8" customFormat="1" outlineLevel="2">
      <c r="A372" s="416">
        <f>D$59</f>
        <v>9999</v>
      </c>
      <c r="B372" s="416">
        <f>B$59</f>
        <v>0.1</v>
      </c>
      <c r="C372" s="411">
        <f>IF(C$361&gt;$A372,$A372-$A371,C$361-SUM(C$364:C371))</f>
        <v>0</v>
      </c>
      <c r="D372" s="416">
        <f>IF(D$361&gt;$A372,$A372-$A371,D$361-SUM(D$364:D371))</f>
        <v>0</v>
      </c>
      <c r="E372" s="416">
        <f>IF(E$361&gt;$A372,$A372-$A371,E$361-SUM(E$364:E371))</f>
        <v>0</v>
      </c>
      <c r="F372" s="416">
        <f>IF(F$361&gt;$A372,$A372-$A371,F$361-SUM(F$364:F371))</f>
        <v>0</v>
      </c>
      <c r="G372" s="416">
        <f>IF(G$361&gt;$A372,$A372-$A371,G$361-SUM(G$364:G371))</f>
        <v>0</v>
      </c>
      <c r="H372" s="416">
        <f>IF(H$361&gt;$A372,$A372-$A371,H$361-SUM(H$364:H371))</f>
        <v>0</v>
      </c>
      <c r="I372" s="416">
        <f>IF(I$361&gt;$A372,$A372-$A371,I$361-SUM(I$364:I371))</f>
        <v>0</v>
      </c>
      <c r="J372" s="416">
        <f>IF(J$361&gt;$A372,$A372-$A371,J$361-SUM(J$364:J371))</f>
        <v>0</v>
      </c>
      <c r="K372" s="416">
        <f>IF(K$361&gt;$A372,$A372-$A371,K$361-SUM(K$364:K371))</f>
        <v>10.240313000000015</v>
      </c>
      <c r="L372" s="416">
        <f>IF(L$361&gt;$A372,$A372-$A371,L$361-SUM(L$364:L371))</f>
        <v>0</v>
      </c>
      <c r="M372" s="283"/>
      <c r="N372" s="405">
        <f t="shared" si="131"/>
        <v>0</v>
      </c>
      <c r="O372" s="95">
        <f t="shared" si="131"/>
        <v>0</v>
      </c>
      <c r="P372" s="95">
        <f t="shared" si="131"/>
        <v>0</v>
      </c>
      <c r="Q372" s="95">
        <f t="shared" si="131"/>
        <v>0</v>
      </c>
      <c r="R372" s="95">
        <f t="shared" si="131"/>
        <v>0</v>
      </c>
      <c r="S372" s="95">
        <f t="shared" si="131"/>
        <v>0</v>
      </c>
      <c r="T372" s="95">
        <f t="shared" si="131"/>
        <v>0</v>
      </c>
      <c r="U372" s="95">
        <f t="shared" si="131"/>
        <v>0</v>
      </c>
      <c r="V372" s="95">
        <f t="shared" si="131"/>
        <v>1.0240313000000014</v>
      </c>
      <c r="W372" s="95">
        <f t="shared" si="131"/>
        <v>0</v>
      </c>
      <c r="X372" s="283"/>
    </row>
    <row r="373" spans="1:24" s="8" customFormat="1" outlineLevel="1">
      <c r="A373" s="404"/>
      <c r="B373" s="417" t="str">
        <f>CONCATENATE(B360," Total")</f>
        <v>Lenovo Total</v>
      </c>
      <c r="C373" s="418">
        <f>SUM(C364:C372)</f>
        <v>7.1</v>
      </c>
      <c r="D373" s="419">
        <f t="shared" ref="D373:L373" si="132">SUM(D364:D372)</f>
        <v>6</v>
      </c>
      <c r="E373" s="419">
        <f t="shared" si="132"/>
        <v>6.6</v>
      </c>
      <c r="F373" s="419">
        <f t="shared" si="132"/>
        <v>8.7000000000000011</v>
      </c>
      <c r="G373" s="419">
        <f t="shared" si="132"/>
        <v>14.764104</v>
      </c>
      <c r="H373" s="419">
        <f t="shared" si="132"/>
        <v>31.300769000000003</v>
      </c>
      <c r="I373" s="419">
        <f t="shared" si="132"/>
        <v>53.781733000000003</v>
      </c>
      <c r="J373" s="419">
        <f t="shared" si="132"/>
        <v>70.661805000000001</v>
      </c>
      <c r="K373" s="419">
        <f t="shared" si="132"/>
        <v>85.240313000000015</v>
      </c>
      <c r="L373" s="419">
        <f t="shared" si="132"/>
        <v>61.968722</v>
      </c>
      <c r="M373" s="283"/>
      <c r="N373" s="420">
        <f>SUM(N364:N372)</f>
        <v>3.7919999999999998</v>
      </c>
      <c r="O373" s="420">
        <f t="shared" ref="O373:W373" si="133">SUM(O364:O372)</f>
        <v>3.33</v>
      </c>
      <c r="P373" s="420">
        <f t="shared" si="133"/>
        <v>3.5819999999999999</v>
      </c>
      <c r="Q373" s="420">
        <f t="shared" si="133"/>
        <v>4.4640000000000004</v>
      </c>
      <c r="R373" s="420">
        <f t="shared" si="133"/>
        <v>6.0581028799999999</v>
      </c>
      <c r="S373" s="420">
        <f t="shared" si="133"/>
        <v>9.4701538000000003</v>
      </c>
      <c r="T373" s="420">
        <f t="shared" si="133"/>
        <v>13.777259950000001</v>
      </c>
      <c r="U373" s="420">
        <f t="shared" si="133"/>
        <v>16.30927075</v>
      </c>
      <c r="V373" s="420">
        <f t="shared" si="133"/>
        <v>17.984031300000002</v>
      </c>
      <c r="W373" s="420">
        <f t="shared" si="133"/>
        <v>15.005308300000001</v>
      </c>
      <c r="X373" s="283"/>
    </row>
    <row r="374" spans="1:24" s="8" customFormat="1" outlineLevel="1">
      <c r="B374" s="421" t="s">
        <v>778</v>
      </c>
      <c r="C374" s="422">
        <f t="shared" ref="C374:L374" si="134">C373-C361</f>
        <v>0</v>
      </c>
      <c r="D374" s="423">
        <f t="shared" si="134"/>
        <v>0</v>
      </c>
      <c r="E374" s="423">
        <f t="shared" si="134"/>
        <v>0</v>
      </c>
      <c r="F374" s="423">
        <f t="shared" si="134"/>
        <v>0</v>
      </c>
      <c r="G374" s="423">
        <f t="shared" si="134"/>
        <v>0</v>
      </c>
      <c r="H374" s="423">
        <f t="shared" si="134"/>
        <v>0</v>
      </c>
      <c r="I374" s="423">
        <f t="shared" si="134"/>
        <v>0</v>
      </c>
      <c r="J374" s="423">
        <f t="shared" si="134"/>
        <v>0</v>
      </c>
      <c r="K374" s="423">
        <f t="shared" si="134"/>
        <v>0</v>
      </c>
      <c r="L374" s="423">
        <f t="shared" si="134"/>
        <v>0</v>
      </c>
      <c r="M374" s="283"/>
      <c r="N374" s="283"/>
      <c r="O374" s="283"/>
      <c r="P374" s="283"/>
      <c r="Q374" s="283"/>
      <c r="R374" s="283"/>
      <c r="S374" s="283"/>
      <c r="T374" s="283"/>
      <c r="U374" s="283"/>
      <c r="V374" s="283"/>
      <c r="W374" s="283"/>
      <c r="X374" s="283"/>
    </row>
    <row r="375" spans="1:24" s="8" customFormat="1" outlineLevel="1">
      <c r="C375" s="283"/>
      <c r="M375" s="283"/>
      <c r="X375" s="283"/>
    </row>
    <row r="376" spans="1:24" s="8" customFormat="1" outlineLevel="1" collapsed="1">
      <c r="A376" s="8">
        <f>A360+1</f>
        <v>13</v>
      </c>
      <c r="B376" s="424" t="str">
        <f>A152</f>
        <v>LGE</v>
      </c>
      <c r="C376" s="80">
        <v>2007</v>
      </c>
      <c r="D376" s="66">
        <f>C376+1</f>
        <v>2008</v>
      </c>
      <c r="E376" s="66">
        <f t="shared" ref="E376:L376" si="135">D376+1</f>
        <v>2009</v>
      </c>
      <c r="F376" s="66">
        <f t="shared" si="135"/>
        <v>2010</v>
      </c>
      <c r="G376" s="66">
        <f t="shared" si="135"/>
        <v>2011</v>
      </c>
      <c r="H376" s="66">
        <f t="shared" si="135"/>
        <v>2012</v>
      </c>
      <c r="I376" s="66">
        <f t="shared" si="135"/>
        <v>2013</v>
      </c>
      <c r="J376" s="66">
        <f t="shared" si="135"/>
        <v>2014</v>
      </c>
      <c r="K376" s="66">
        <f t="shared" si="135"/>
        <v>2015</v>
      </c>
      <c r="L376" s="66">
        <f t="shared" si="135"/>
        <v>2016</v>
      </c>
      <c r="M376" s="283"/>
      <c r="N376" s="168">
        <f t="shared" ref="N376:W376" si="136">C376</f>
        <v>2007</v>
      </c>
      <c r="O376" s="66">
        <f t="shared" si="136"/>
        <v>2008</v>
      </c>
      <c r="P376" s="66">
        <f t="shared" si="136"/>
        <v>2009</v>
      </c>
      <c r="Q376" s="66">
        <f t="shared" si="136"/>
        <v>2010</v>
      </c>
      <c r="R376" s="66">
        <f t="shared" si="136"/>
        <v>2011</v>
      </c>
      <c r="S376" s="66">
        <f t="shared" si="136"/>
        <v>2012</v>
      </c>
      <c r="T376" s="66">
        <f t="shared" si="136"/>
        <v>2013</v>
      </c>
      <c r="U376" s="66">
        <f t="shared" si="136"/>
        <v>2014</v>
      </c>
      <c r="V376" s="66">
        <f t="shared" si="136"/>
        <v>2015</v>
      </c>
      <c r="W376" s="66">
        <f t="shared" si="136"/>
        <v>2016</v>
      </c>
      <c r="X376" s="283"/>
    </row>
    <row r="377" spans="1:24" s="8" customFormat="1" outlineLevel="2">
      <c r="B377" s="8" t="s">
        <v>1348</v>
      </c>
      <c r="C377" s="411">
        <f t="shared" ref="C377:L377" si="137">VLOOKUP($B376,$A$140:$K$175,C$183+1,FALSE)</f>
        <v>80.5</v>
      </c>
      <c r="D377" s="412">
        <f t="shared" si="137"/>
        <v>100.8</v>
      </c>
      <c r="E377" s="412">
        <f t="shared" si="137"/>
        <v>117.89999999999999</v>
      </c>
      <c r="F377" s="412">
        <f t="shared" si="137"/>
        <v>116.7</v>
      </c>
      <c r="G377" s="412">
        <f t="shared" si="137"/>
        <v>88.17238900000001</v>
      </c>
      <c r="H377" s="412">
        <f t="shared" si="137"/>
        <v>56.542707999999998</v>
      </c>
      <c r="I377" s="412">
        <f t="shared" si="137"/>
        <v>71.050178000000002</v>
      </c>
      <c r="J377" s="412">
        <f t="shared" si="137"/>
        <v>80.709176999999997</v>
      </c>
      <c r="K377" s="412">
        <f t="shared" si="137"/>
        <v>77.883528999999996</v>
      </c>
      <c r="L377" s="412">
        <f t="shared" si="137"/>
        <v>71.606096000000008</v>
      </c>
      <c r="M377" s="283"/>
      <c r="N377" s="283"/>
      <c r="X377" s="283"/>
    </row>
    <row r="378" spans="1:24" s="8" customFormat="1" outlineLevel="2">
      <c r="C378" s="413"/>
      <c r="D378" s="414"/>
      <c r="E378" s="414"/>
      <c r="F378" s="414"/>
      <c r="G378" s="414"/>
      <c r="H378" s="414"/>
      <c r="I378" s="414"/>
      <c r="J378" s="414"/>
      <c r="K378" s="414"/>
      <c r="L378" s="414"/>
      <c r="M378" s="283"/>
      <c r="N378" s="283"/>
      <c r="X378" s="283"/>
    </row>
    <row r="379" spans="1:24" s="8" customFormat="1" outlineLevel="2">
      <c r="A379" s="66" t="s">
        <v>1349</v>
      </c>
      <c r="B379" s="66" t="s">
        <v>1350</v>
      </c>
      <c r="C379" s="415"/>
      <c r="F379" s="9"/>
      <c r="M379" s="283"/>
      <c r="N379" s="283"/>
      <c r="X379" s="283"/>
    </row>
    <row r="380" spans="1:24" s="8" customFormat="1" outlineLevel="2">
      <c r="A380" s="416">
        <f>D$51</f>
        <v>0.5</v>
      </c>
      <c r="B380" s="416">
        <f>B$51</f>
        <v>0.98</v>
      </c>
      <c r="C380" s="411">
        <f>IF(C$377&gt;$A380,$A380,C$377)</f>
        <v>0.5</v>
      </c>
      <c r="D380" s="416">
        <f t="shared" ref="D380:L380" si="138">IF(D$377&gt;$A380,$A380,D$377)</f>
        <v>0.5</v>
      </c>
      <c r="E380" s="416">
        <f t="shared" si="138"/>
        <v>0.5</v>
      </c>
      <c r="F380" s="416">
        <f t="shared" si="138"/>
        <v>0.5</v>
      </c>
      <c r="G380" s="416">
        <f t="shared" si="138"/>
        <v>0.5</v>
      </c>
      <c r="H380" s="416">
        <f t="shared" si="138"/>
        <v>0.5</v>
      </c>
      <c r="I380" s="416">
        <f t="shared" si="138"/>
        <v>0.5</v>
      </c>
      <c r="J380" s="416">
        <f t="shared" si="138"/>
        <v>0.5</v>
      </c>
      <c r="K380" s="416">
        <f t="shared" si="138"/>
        <v>0.5</v>
      </c>
      <c r="L380" s="416">
        <f t="shared" si="138"/>
        <v>0.5</v>
      </c>
      <c r="M380" s="283"/>
      <c r="N380" s="405">
        <f t="shared" ref="N380:W388" si="139">C380*$B380</f>
        <v>0.49</v>
      </c>
      <c r="O380" s="95">
        <f t="shared" si="139"/>
        <v>0.49</v>
      </c>
      <c r="P380" s="95">
        <f t="shared" si="139"/>
        <v>0.49</v>
      </c>
      <c r="Q380" s="95">
        <f t="shared" si="139"/>
        <v>0.49</v>
      </c>
      <c r="R380" s="95">
        <f t="shared" si="139"/>
        <v>0.49</v>
      </c>
      <c r="S380" s="95">
        <f t="shared" si="139"/>
        <v>0.49</v>
      </c>
      <c r="T380" s="95">
        <f t="shared" si="139"/>
        <v>0.49</v>
      </c>
      <c r="U380" s="95">
        <f t="shared" si="139"/>
        <v>0.49</v>
      </c>
      <c r="V380" s="95">
        <f t="shared" si="139"/>
        <v>0.49</v>
      </c>
      <c r="W380" s="95">
        <f t="shared" si="139"/>
        <v>0.49</v>
      </c>
      <c r="X380" s="283"/>
    </row>
    <row r="381" spans="1:24" s="8" customFormat="1" outlineLevel="2">
      <c r="A381" s="416">
        <f>D$52</f>
        <v>1</v>
      </c>
      <c r="B381" s="416">
        <f>B$52</f>
        <v>0.78</v>
      </c>
      <c r="C381" s="411">
        <f>IF(C$377&gt;$A381,$A381-$A380,C$377-SUM(C380:C$380))</f>
        <v>0.5</v>
      </c>
      <c r="D381" s="416">
        <f>IF(D$377&gt;$A381,$A381-$A380,D$377-SUM(D380:D$380))</f>
        <v>0.5</v>
      </c>
      <c r="E381" s="416">
        <f>IF(E$377&gt;$A381,$A381-$A380,E$377-SUM(E380:E$380))</f>
        <v>0.5</v>
      </c>
      <c r="F381" s="416">
        <f>IF(F$377&gt;$A381,$A381-$A380,F$377-SUM(F380:F$380))</f>
        <v>0.5</v>
      </c>
      <c r="G381" s="416">
        <f>IF(G$377&gt;$A381,$A381-$A380,G$377-SUM(G380:G$380))</f>
        <v>0.5</v>
      </c>
      <c r="H381" s="416">
        <f>IF(H$377&gt;$A381,$A381-$A380,H$377-SUM(H380:H$380))</f>
        <v>0.5</v>
      </c>
      <c r="I381" s="416">
        <f>IF(I$377&gt;$A381,$A381-$A380,I$377-SUM(I380:I$380))</f>
        <v>0.5</v>
      </c>
      <c r="J381" s="416">
        <f>IF(J$377&gt;$A381,$A381-$A380,J$377-SUM(J380:J$380))</f>
        <v>0.5</v>
      </c>
      <c r="K381" s="416">
        <f>IF(K$377&gt;$A381,$A381-$A380,K$377-SUM(K380:K$380))</f>
        <v>0.5</v>
      </c>
      <c r="L381" s="416">
        <f>IF(L$377&gt;$A381,$A381-$A380,L$377-SUM(L380:L$380))</f>
        <v>0.5</v>
      </c>
      <c r="M381" s="283"/>
      <c r="N381" s="405">
        <f t="shared" si="139"/>
        <v>0.39</v>
      </c>
      <c r="O381" s="95">
        <f t="shared" si="139"/>
        <v>0.39</v>
      </c>
      <c r="P381" s="95">
        <f t="shared" si="139"/>
        <v>0.39</v>
      </c>
      <c r="Q381" s="95">
        <f t="shared" si="139"/>
        <v>0.39</v>
      </c>
      <c r="R381" s="95">
        <f t="shared" si="139"/>
        <v>0.39</v>
      </c>
      <c r="S381" s="95">
        <f t="shared" si="139"/>
        <v>0.39</v>
      </c>
      <c r="T381" s="95">
        <f t="shared" si="139"/>
        <v>0.39</v>
      </c>
      <c r="U381" s="95">
        <f t="shared" si="139"/>
        <v>0.39</v>
      </c>
      <c r="V381" s="95">
        <f t="shared" si="139"/>
        <v>0.39</v>
      </c>
      <c r="W381" s="95">
        <f t="shared" si="139"/>
        <v>0.39</v>
      </c>
      <c r="X381" s="283"/>
    </row>
    <row r="382" spans="1:24" s="8" customFormat="1" outlineLevel="2">
      <c r="A382" s="416">
        <f>D$53</f>
        <v>2</v>
      </c>
      <c r="B382" s="416">
        <f>B$53</f>
        <v>0.68</v>
      </c>
      <c r="C382" s="411">
        <f>IF(C$377&gt;$A382,$A382-$A381,C$377-SUM(C$380:C381))</f>
        <v>1</v>
      </c>
      <c r="D382" s="416">
        <f>IF(D$377&gt;$A382,$A382-$A381,D$377-SUM(D$380:D381))</f>
        <v>1</v>
      </c>
      <c r="E382" s="416">
        <f>IF(E$377&gt;$A382,$A382-$A381,E$377-SUM(E$380:E381))</f>
        <v>1</v>
      </c>
      <c r="F382" s="416">
        <f>IF(F$377&gt;$A382,$A382-$A381,F$377-SUM(F$380:F381))</f>
        <v>1</v>
      </c>
      <c r="G382" s="416">
        <f>IF(G$377&gt;$A382,$A382-$A381,G$377-SUM(G$380:G381))</f>
        <v>1</v>
      </c>
      <c r="H382" s="416">
        <f>IF(H$377&gt;$A382,$A382-$A381,H$377-SUM(H$380:H381))</f>
        <v>1</v>
      </c>
      <c r="I382" s="416">
        <f>IF(I$377&gt;$A382,$A382-$A381,I$377-SUM(I$380:I381))</f>
        <v>1</v>
      </c>
      <c r="J382" s="416">
        <f>IF(J$377&gt;$A382,$A382-$A381,J$377-SUM(J$380:J381))</f>
        <v>1</v>
      </c>
      <c r="K382" s="416">
        <f>IF(K$377&gt;$A382,$A382-$A381,K$377-SUM(K$380:K381))</f>
        <v>1</v>
      </c>
      <c r="L382" s="416">
        <f>IF(L$377&gt;$A382,$A382-$A381,L$377-SUM(L$380:L381))</f>
        <v>1</v>
      </c>
      <c r="M382" s="283"/>
      <c r="N382" s="405">
        <f t="shared" si="139"/>
        <v>0.68</v>
      </c>
      <c r="O382" s="95">
        <f t="shared" si="139"/>
        <v>0.68</v>
      </c>
      <c r="P382" s="95">
        <f t="shared" si="139"/>
        <v>0.68</v>
      </c>
      <c r="Q382" s="95">
        <f t="shared" si="139"/>
        <v>0.68</v>
      </c>
      <c r="R382" s="95">
        <f t="shared" si="139"/>
        <v>0.68</v>
      </c>
      <c r="S382" s="95">
        <f t="shared" si="139"/>
        <v>0.68</v>
      </c>
      <c r="T382" s="95">
        <f t="shared" si="139"/>
        <v>0.68</v>
      </c>
      <c r="U382" s="95">
        <f t="shared" si="139"/>
        <v>0.68</v>
      </c>
      <c r="V382" s="95">
        <f t="shared" si="139"/>
        <v>0.68</v>
      </c>
      <c r="W382" s="95">
        <f t="shared" si="139"/>
        <v>0.68</v>
      </c>
      <c r="X382" s="283"/>
    </row>
    <row r="383" spans="1:24" s="8" customFormat="1" outlineLevel="2">
      <c r="A383" s="416">
        <f>D$54</f>
        <v>5</v>
      </c>
      <c r="B383" s="416">
        <f>B$54</f>
        <v>0.45</v>
      </c>
      <c r="C383" s="411">
        <f>IF(C$377&gt;$A383,$A383-$A382,C$377-SUM(C$380:C382))</f>
        <v>3</v>
      </c>
      <c r="D383" s="416">
        <f>IF(D$377&gt;$A383,$A383-$A382,D$377-SUM(D$380:D382))</f>
        <v>3</v>
      </c>
      <c r="E383" s="416">
        <f>IF(E$377&gt;$A383,$A383-$A382,E$377-SUM(E$380:E382))</f>
        <v>3</v>
      </c>
      <c r="F383" s="416">
        <f>IF(F$377&gt;$A383,$A383-$A382,F$377-SUM(F$380:F382))</f>
        <v>3</v>
      </c>
      <c r="G383" s="416">
        <f>IF(G$377&gt;$A383,$A383-$A382,G$377-SUM(G$380:G382))</f>
        <v>3</v>
      </c>
      <c r="H383" s="416">
        <f>IF(H$377&gt;$A383,$A383-$A382,H$377-SUM(H$380:H382))</f>
        <v>3</v>
      </c>
      <c r="I383" s="416">
        <f>IF(I$377&gt;$A383,$A383-$A382,I$377-SUM(I$380:I382))</f>
        <v>3</v>
      </c>
      <c r="J383" s="416">
        <f>IF(J$377&gt;$A383,$A383-$A382,J$377-SUM(J$380:J382))</f>
        <v>3</v>
      </c>
      <c r="K383" s="416">
        <f>IF(K$377&gt;$A383,$A383-$A382,K$377-SUM(K$380:K382))</f>
        <v>3</v>
      </c>
      <c r="L383" s="416">
        <f>IF(L$377&gt;$A383,$A383-$A382,L$377-SUM(L$380:L382))</f>
        <v>3</v>
      </c>
      <c r="M383" s="283"/>
      <c r="N383" s="405">
        <f t="shared" si="139"/>
        <v>1.35</v>
      </c>
      <c r="O383" s="95">
        <f t="shared" si="139"/>
        <v>1.35</v>
      </c>
      <c r="P383" s="95">
        <f t="shared" si="139"/>
        <v>1.35</v>
      </c>
      <c r="Q383" s="95">
        <f t="shared" si="139"/>
        <v>1.35</v>
      </c>
      <c r="R383" s="95">
        <f t="shared" si="139"/>
        <v>1.35</v>
      </c>
      <c r="S383" s="95">
        <f t="shared" si="139"/>
        <v>1.35</v>
      </c>
      <c r="T383" s="95">
        <f t="shared" si="139"/>
        <v>1.35</v>
      </c>
      <c r="U383" s="95">
        <f t="shared" si="139"/>
        <v>1.35</v>
      </c>
      <c r="V383" s="95">
        <f t="shared" si="139"/>
        <v>1.35</v>
      </c>
      <c r="W383" s="95">
        <f t="shared" si="139"/>
        <v>1.35</v>
      </c>
      <c r="X383" s="283"/>
    </row>
    <row r="384" spans="1:24" s="8" customFormat="1" outlineLevel="2">
      <c r="A384" s="416">
        <f>D$55</f>
        <v>10</v>
      </c>
      <c r="B384" s="416">
        <f>B$55</f>
        <v>0.42</v>
      </c>
      <c r="C384" s="411">
        <f>IF(C$377&gt;$A384,$A384-$A383,C$377-SUM(C$380:C383))</f>
        <v>5</v>
      </c>
      <c r="D384" s="416">
        <f>IF(D$377&gt;$A384,$A384-$A383,D$377-SUM(D$380:D383))</f>
        <v>5</v>
      </c>
      <c r="E384" s="416">
        <f>IF(E$377&gt;$A384,$A384-$A383,E$377-SUM(E$380:E383))</f>
        <v>5</v>
      </c>
      <c r="F384" s="416">
        <f>IF(F$377&gt;$A384,$A384-$A383,F$377-SUM(F$380:F383))</f>
        <v>5</v>
      </c>
      <c r="G384" s="416">
        <f>IF(G$377&gt;$A384,$A384-$A383,G$377-SUM(G$380:G383))</f>
        <v>5</v>
      </c>
      <c r="H384" s="416">
        <f>IF(H$377&gt;$A384,$A384-$A383,H$377-SUM(H$380:H383))</f>
        <v>5</v>
      </c>
      <c r="I384" s="416">
        <f>IF(I$377&gt;$A384,$A384-$A383,I$377-SUM(I$380:I383))</f>
        <v>5</v>
      </c>
      <c r="J384" s="416">
        <f>IF(J$377&gt;$A384,$A384-$A383,J$377-SUM(J$380:J383))</f>
        <v>5</v>
      </c>
      <c r="K384" s="416">
        <f>IF(K$377&gt;$A384,$A384-$A383,K$377-SUM(K$380:K383))</f>
        <v>5</v>
      </c>
      <c r="L384" s="416">
        <f>IF(L$377&gt;$A384,$A384-$A383,L$377-SUM(L$380:L383))</f>
        <v>5</v>
      </c>
      <c r="M384" s="283"/>
      <c r="N384" s="405">
        <f t="shared" si="139"/>
        <v>2.1</v>
      </c>
      <c r="O384" s="95">
        <f t="shared" si="139"/>
        <v>2.1</v>
      </c>
      <c r="P384" s="95">
        <f t="shared" si="139"/>
        <v>2.1</v>
      </c>
      <c r="Q384" s="95">
        <f t="shared" si="139"/>
        <v>2.1</v>
      </c>
      <c r="R384" s="95">
        <f t="shared" si="139"/>
        <v>2.1</v>
      </c>
      <c r="S384" s="95">
        <f t="shared" si="139"/>
        <v>2.1</v>
      </c>
      <c r="T384" s="95">
        <f t="shared" si="139"/>
        <v>2.1</v>
      </c>
      <c r="U384" s="95">
        <f t="shared" si="139"/>
        <v>2.1</v>
      </c>
      <c r="V384" s="95">
        <f t="shared" si="139"/>
        <v>2.1</v>
      </c>
      <c r="W384" s="95">
        <f t="shared" si="139"/>
        <v>2.1</v>
      </c>
      <c r="X384" s="283"/>
    </row>
    <row r="385" spans="1:24" s="8" customFormat="1" outlineLevel="2">
      <c r="A385" s="416">
        <f>D$56</f>
        <v>20</v>
      </c>
      <c r="B385" s="416">
        <f>B$56</f>
        <v>0.22</v>
      </c>
      <c r="C385" s="411">
        <f>IF(C$377&gt;$A385,$A385-$A384,C$377-SUM(C$380:C384))</f>
        <v>10</v>
      </c>
      <c r="D385" s="416">
        <f>IF(D$377&gt;$A385,$A385-$A384,D$377-SUM(D$380:D384))</f>
        <v>10</v>
      </c>
      <c r="E385" s="416">
        <f>IF(E$377&gt;$A385,$A385-$A384,E$377-SUM(E$380:E384))</f>
        <v>10</v>
      </c>
      <c r="F385" s="416">
        <f>IF(F$377&gt;$A385,$A385-$A384,F$377-SUM(F$380:F384))</f>
        <v>10</v>
      </c>
      <c r="G385" s="416">
        <f>IF(G$377&gt;$A385,$A385-$A384,G$377-SUM(G$380:G384))</f>
        <v>10</v>
      </c>
      <c r="H385" s="416">
        <f>IF(H$377&gt;$A385,$A385-$A384,H$377-SUM(H$380:H384))</f>
        <v>10</v>
      </c>
      <c r="I385" s="416">
        <f>IF(I$377&gt;$A385,$A385-$A384,I$377-SUM(I$380:I384))</f>
        <v>10</v>
      </c>
      <c r="J385" s="416">
        <f>IF(J$377&gt;$A385,$A385-$A384,J$377-SUM(J$380:J384))</f>
        <v>10</v>
      </c>
      <c r="K385" s="416">
        <f>IF(K$377&gt;$A385,$A385-$A384,K$377-SUM(K$380:K384))</f>
        <v>10</v>
      </c>
      <c r="L385" s="416">
        <f>IF(L$377&gt;$A385,$A385-$A384,L$377-SUM(L$380:L384))</f>
        <v>10</v>
      </c>
      <c r="M385" s="283"/>
      <c r="N385" s="405">
        <f t="shared" si="139"/>
        <v>2.2000000000000002</v>
      </c>
      <c r="O385" s="95">
        <f t="shared" si="139"/>
        <v>2.2000000000000002</v>
      </c>
      <c r="P385" s="95">
        <f t="shared" si="139"/>
        <v>2.2000000000000002</v>
      </c>
      <c r="Q385" s="95">
        <f t="shared" si="139"/>
        <v>2.2000000000000002</v>
      </c>
      <c r="R385" s="95">
        <f t="shared" si="139"/>
        <v>2.2000000000000002</v>
      </c>
      <c r="S385" s="95">
        <f t="shared" si="139"/>
        <v>2.2000000000000002</v>
      </c>
      <c r="T385" s="95">
        <f t="shared" si="139"/>
        <v>2.2000000000000002</v>
      </c>
      <c r="U385" s="95">
        <f t="shared" si="139"/>
        <v>2.2000000000000002</v>
      </c>
      <c r="V385" s="95">
        <f t="shared" si="139"/>
        <v>2.2000000000000002</v>
      </c>
      <c r="W385" s="95">
        <f t="shared" si="139"/>
        <v>2.2000000000000002</v>
      </c>
      <c r="X385" s="283"/>
    </row>
    <row r="386" spans="1:24" s="8" customFormat="1" outlineLevel="2">
      <c r="A386" s="416">
        <f>D$57</f>
        <v>50</v>
      </c>
      <c r="B386" s="416">
        <f>B$57</f>
        <v>0.2</v>
      </c>
      <c r="C386" s="411">
        <f>IF(C$377&gt;$A386,$A386-$A385,C$377-SUM(C$380:C385))</f>
        <v>30</v>
      </c>
      <c r="D386" s="416">
        <f>IF(D$377&gt;$A386,$A386-$A385,D$377-SUM(D$380:D385))</f>
        <v>30</v>
      </c>
      <c r="E386" s="416">
        <f>IF(E$377&gt;$A386,$A386-$A385,E$377-SUM(E$380:E385))</f>
        <v>30</v>
      </c>
      <c r="F386" s="416">
        <f>IF(F$377&gt;$A386,$A386-$A385,F$377-SUM(F$380:F385))</f>
        <v>30</v>
      </c>
      <c r="G386" s="416">
        <f>IF(G$377&gt;$A386,$A386-$A385,G$377-SUM(G$380:G385))</f>
        <v>30</v>
      </c>
      <c r="H386" s="416">
        <f>IF(H$377&gt;$A386,$A386-$A385,H$377-SUM(H$380:H385))</f>
        <v>30</v>
      </c>
      <c r="I386" s="416">
        <f>IF(I$377&gt;$A386,$A386-$A385,I$377-SUM(I$380:I385))</f>
        <v>30</v>
      </c>
      <c r="J386" s="416">
        <f>IF(J$377&gt;$A386,$A386-$A385,J$377-SUM(J$380:J385))</f>
        <v>30</v>
      </c>
      <c r="K386" s="416">
        <f>IF(K$377&gt;$A386,$A386-$A385,K$377-SUM(K$380:K385))</f>
        <v>30</v>
      </c>
      <c r="L386" s="416">
        <f>IF(L$377&gt;$A386,$A386-$A385,L$377-SUM(L$380:L385))</f>
        <v>30</v>
      </c>
      <c r="M386" s="283"/>
      <c r="N386" s="405">
        <f t="shared" si="139"/>
        <v>6</v>
      </c>
      <c r="O386" s="95">
        <f t="shared" si="139"/>
        <v>6</v>
      </c>
      <c r="P386" s="95">
        <f t="shared" si="139"/>
        <v>6</v>
      </c>
      <c r="Q386" s="95">
        <f t="shared" si="139"/>
        <v>6</v>
      </c>
      <c r="R386" s="95">
        <f t="shared" si="139"/>
        <v>6</v>
      </c>
      <c r="S386" s="95">
        <f t="shared" si="139"/>
        <v>6</v>
      </c>
      <c r="T386" s="95">
        <f t="shared" si="139"/>
        <v>6</v>
      </c>
      <c r="U386" s="95">
        <f t="shared" si="139"/>
        <v>6</v>
      </c>
      <c r="V386" s="95">
        <f t="shared" si="139"/>
        <v>6</v>
      </c>
      <c r="W386" s="95">
        <f t="shared" si="139"/>
        <v>6</v>
      </c>
      <c r="X386" s="283"/>
    </row>
    <row r="387" spans="1:24" s="8" customFormat="1" outlineLevel="2">
      <c r="A387" s="416">
        <f>D$58</f>
        <v>75</v>
      </c>
      <c r="B387" s="416">
        <f>B$58</f>
        <v>0.15</v>
      </c>
      <c r="C387" s="411">
        <f>IF(C$377&gt;$A387,$A387-$A386,C$377-SUM(C$380:C386))</f>
        <v>25</v>
      </c>
      <c r="D387" s="416">
        <f>IF(D$377&gt;$A387,$A387-$A386,D$377-SUM(D$380:D386))</f>
        <v>25</v>
      </c>
      <c r="E387" s="416">
        <f>IF(E$377&gt;$A387,$A387-$A386,E$377-SUM(E$380:E386))</f>
        <v>25</v>
      </c>
      <c r="F387" s="416">
        <f>IF(F$377&gt;$A387,$A387-$A386,F$377-SUM(F$380:F386))</f>
        <v>25</v>
      </c>
      <c r="G387" s="416">
        <f>IF(G$377&gt;$A387,$A387-$A386,G$377-SUM(G$380:G386))</f>
        <v>25</v>
      </c>
      <c r="H387" s="416">
        <f>IF(H$377&gt;$A387,$A387-$A386,H$377-SUM(H$380:H386))</f>
        <v>6.5427079999999975</v>
      </c>
      <c r="I387" s="416">
        <f>IF(I$377&gt;$A387,$A387-$A386,I$377-SUM(I$380:I386))</f>
        <v>21.050178000000002</v>
      </c>
      <c r="J387" s="416">
        <f>IF(J$377&gt;$A387,$A387-$A386,J$377-SUM(J$380:J386))</f>
        <v>25</v>
      </c>
      <c r="K387" s="416">
        <f>IF(K$377&gt;$A387,$A387-$A386,K$377-SUM(K$380:K386))</f>
        <v>25</v>
      </c>
      <c r="L387" s="416">
        <f>IF(L$377&gt;$A387,$A387-$A386,L$377-SUM(L$380:L386))</f>
        <v>21.606096000000008</v>
      </c>
      <c r="M387" s="283"/>
      <c r="N387" s="405">
        <f t="shared" si="139"/>
        <v>3.75</v>
      </c>
      <c r="O387" s="95">
        <f t="shared" si="139"/>
        <v>3.75</v>
      </c>
      <c r="P387" s="95">
        <f t="shared" si="139"/>
        <v>3.75</v>
      </c>
      <c r="Q387" s="95">
        <f t="shared" si="139"/>
        <v>3.75</v>
      </c>
      <c r="R387" s="95">
        <f t="shared" si="139"/>
        <v>3.75</v>
      </c>
      <c r="S387" s="95">
        <f t="shared" si="139"/>
        <v>0.98140619999999956</v>
      </c>
      <c r="T387" s="95">
        <f t="shared" si="139"/>
        <v>3.1575267000000005</v>
      </c>
      <c r="U387" s="95">
        <f t="shared" si="139"/>
        <v>3.75</v>
      </c>
      <c r="V387" s="95">
        <f t="shared" si="139"/>
        <v>3.75</v>
      </c>
      <c r="W387" s="95">
        <f t="shared" si="139"/>
        <v>3.2409144000000012</v>
      </c>
      <c r="X387" s="283"/>
    </row>
    <row r="388" spans="1:24" s="8" customFormat="1" outlineLevel="2">
      <c r="A388" s="416">
        <f>D$59</f>
        <v>9999</v>
      </c>
      <c r="B388" s="416">
        <f>B$59</f>
        <v>0.1</v>
      </c>
      <c r="C388" s="411">
        <f>IF(C$377&gt;$A388,$A388-$A387,C$377-SUM(C$380:C387))</f>
        <v>5.5</v>
      </c>
      <c r="D388" s="416">
        <f>IF(D$377&gt;$A388,$A388-$A387,D$377-SUM(D$380:D387))</f>
        <v>25.799999999999997</v>
      </c>
      <c r="E388" s="416">
        <f>IF(E$377&gt;$A388,$A388-$A387,E$377-SUM(E$380:E387))</f>
        <v>42.899999999999991</v>
      </c>
      <c r="F388" s="416">
        <f>IF(F$377&gt;$A388,$A388-$A387,F$377-SUM(F$380:F387))</f>
        <v>41.7</v>
      </c>
      <c r="G388" s="416">
        <f>IF(G$377&gt;$A388,$A388-$A387,G$377-SUM(G$380:G387))</f>
        <v>13.17238900000001</v>
      </c>
      <c r="H388" s="416">
        <f>IF(H$377&gt;$A388,$A388-$A387,H$377-SUM(H$380:H387))</f>
        <v>0</v>
      </c>
      <c r="I388" s="416">
        <f>IF(I$377&gt;$A388,$A388-$A387,I$377-SUM(I$380:I387))</f>
        <v>0</v>
      </c>
      <c r="J388" s="416">
        <f>IF(J$377&gt;$A388,$A388-$A387,J$377-SUM(J$380:J387))</f>
        <v>5.7091769999999968</v>
      </c>
      <c r="K388" s="416">
        <f>IF(K$377&gt;$A388,$A388-$A387,K$377-SUM(K$380:K387))</f>
        <v>2.8835289999999958</v>
      </c>
      <c r="L388" s="416">
        <f>IF(L$377&gt;$A388,$A388-$A387,L$377-SUM(L$380:L387))</f>
        <v>0</v>
      </c>
      <c r="M388" s="283"/>
      <c r="N388" s="405">
        <f t="shared" si="139"/>
        <v>0.55000000000000004</v>
      </c>
      <c r="O388" s="95">
        <f t="shared" si="139"/>
        <v>2.58</v>
      </c>
      <c r="P388" s="95">
        <f t="shared" si="139"/>
        <v>4.2899999999999991</v>
      </c>
      <c r="Q388" s="95">
        <f t="shared" si="139"/>
        <v>4.1700000000000008</v>
      </c>
      <c r="R388" s="95">
        <f t="shared" si="139"/>
        <v>1.3172389000000011</v>
      </c>
      <c r="S388" s="95">
        <f t="shared" si="139"/>
        <v>0</v>
      </c>
      <c r="T388" s="95">
        <f t="shared" si="139"/>
        <v>0</v>
      </c>
      <c r="U388" s="95">
        <f t="shared" si="139"/>
        <v>0.57091769999999975</v>
      </c>
      <c r="V388" s="95">
        <f t="shared" si="139"/>
        <v>0.28835289999999958</v>
      </c>
      <c r="W388" s="95">
        <f t="shared" si="139"/>
        <v>0</v>
      </c>
      <c r="X388" s="283"/>
    </row>
    <row r="389" spans="1:24" s="8" customFormat="1" outlineLevel="1">
      <c r="A389" s="404"/>
      <c r="B389" s="417" t="str">
        <f>CONCATENATE(B376," Total")</f>
        <v>LGE Total</v>
      </c>
      <c r="C389" s="418">
        <f>SUM(C380:C388)</f>
        <v>80.5</v>
      </c>
      <c r="D389" s="419">
        <f t="shared" ref="D389:L389" si="140">SUM(D380:D388)</f>
        <v>100.8</v>
      </c>
      <c r="E389" s="419">
        <f t="shared" si="140"/>
        <v>117.89999999999999</v>
      </c>
      <c r="F389" s="419">
        <f t="shared" si="140"/>
        <v>116.7</v>
      </c>
      <c r="G389" s="419">
        <f t="shared" si="140"/>
        <v>88.17238900000001</v>
      </c>
      <c r="H389" s="419">
        <f t="shared" si="140"/>
        <v>56.542707999999998</v>
      </c>
      <c r="I389" s="419">
        <f t="shared" si="140"/>
        <v>71.050178000000002</v>
      </c>
      <c r="J389" s="419">
        <f t="shared" si="140"/>
        <v>80.709176999999997</v>
      </c>
      <c r="K389" s="419">
        <f t="shared" si="140"/>
        <v>77.883528999999996</v>
      </c>
      <c r="L389" s="419">
        <f t="shared" si="140"/>
        <v>71.606096000000008</v>
      </c>
      <c r="M389" s="283"/>
      <c r="N389" s="420">
        <f>SUM(N380:N388)</f>
        <v>17.510000000000002</v>
      </c>
      <c r="O389" s="420">
        <f t="shared" ref="O389:W389" si="141">SUM(O380:O388)</f>
        <v>19.54</v>
      </c>
      <c r="P389" s="420">
        <f t="shared" si="141"/>
        <v>21.25</v>
      </c>
      <c r="Q389" s="420">
        <f t="shared" si="141"/>
        <v>21.130000000000003</v>
      </c>
      <c r="R389" s="420">
        <f t="shared" si="141"/>
        <v>18.2772389</v>
      </c>
      <c r="S389" s="420">
        <f t="shared" si="141"/>
        <v>14.191406200000001</v>
      </c>
      <c r="T389" s="420">
        <f t="shared" si="141"/>
        <v>16.367526700000003</v>
      </c>
      <c r="U389" s="420">
        <f t="shared" si="141"/>
        <v>17.5309177</v>
      </c>
      <c r="V389" s="420">
        <f t="shared" si="141"/>
        <v>17.2483529</v>
      </c>
      <c r="W389" s="420">
        <f t="shared" si="141"/>
        <v>16.450914400000002</v>
      </c>
      <c r="X389" s="283"/>
    </row>
    <row r="390" spans="1:24" s="8" customFormat="1" outlineLevel="1">
      <c r="B390" s="421" t="s">
        <v>778</v>
      </c>
      <c r="C390" s="422">
        <f t="shared" ref="C390:L390" si="142">C389-C377</f>
        <v>0</v>
      </c>
      <c r="D390" s="423">
        <f t="shared" si="142"/>
        <v>0</v>
      </c>
      <c r="E390" s="423">
        <f t="shared" si="142"/>
        <v>0</v>
      </c>
      <c r="F390" s="423">
        <f t="shared" si="142"/>
        <v>0</v>
      </c>
      <c r="G390" s="423">
        <f t="shared" si="142"/>
        <v>0</v>
      </c>
      <c r="H390" s="423">
        <f t="shared" si="142"/>
        <v>0</v>
      </c>
      <c r="I390" s="423">
        <f t="shared" si="142"/>
        <v>0</v>
      </c>
      <c r="J390" s="423">
        <f t="shared" si="142"/>
        <v>0</v>
      </c>
      <c r="K390" s="423">
        <f t="shared" si="142"/>
        <v>0</v>
      </c>
      <c r="L390" s="423">
        <f t="shared" si="142"/>
        <v>0</v>
      </c>
      <c r="M390" s="283"/>
      <c r="N390" s="283"/>
      <c r="O390" s="283"/>
      <c r="P390" s="283"/>
      <c r="Q390" s="283"/>
      <c r="R390" s="283"/>
      <c r="S390" s="283"/>
      <c r="T390" s="283"/>
      <c r="U390" s="283"/>
      <c r="V390" s="283"/>
      <c r="W390" s="283"/>
      <c r="X390" s="283"/>
    </row>
    <row r="391" spans="1:24" s="8" customFormat="1" outlineLevel="1">
      <c r="B391" s="283"/>
      <c r="C391" s="283"/>
      <c r="M391" s="283"/>
      <c r="X391" s="283"/>
    </row>
    <row r="392" spans="1:24" s="8" customFormat="1" outlineLevel="1" collapsed="1">
      <c r="A392" s="8">
        <f>A376+1</f>
        <v>14</v>
      </c>
      <c r="B392" s="424" t="str">
        <f>A153</f>
        <v>Micromax</v>
      </c>
      <c r="C392" s="80">
        <v>2007</v>
      </c>
      <c r="D392" s="66">
        <f>C392+1</f>
        <v>2008</v>
      </c>
      <c r="E392" s="66">
        <f t="shared" ref="E392:L392" si="143">D392+1</f>
        <v>2009</v>
      </c>
      <c r="F392" s="66">
        <f t="shared" si="143"/>
        <v>2010</v>
      </c>
      <c r="G392" s="66">
        <f t="shared" si="143"/>
        <v>2011</v>
      </c>
      <c r="H392" s="66">
        <f t="shared" si="143"/>
        <v>2012</v>
      </c>
      <c r="I392" s="66">
        <f t="shared" si="143"/>
        <v>2013</v>
      </c>
      <c r="J392" s="66">
        <f t="shared" si="143"/>
        <v>2014</v>
      </c>
      <c r="K392" s="66">
        <f t="shared" si="143"/>
        <v>2015</v>
      </c>
      <c r="L392" s="66">
        <f t="shared" si="143"/>
        <v>2016</v>
      </c>
      <c r="M392" s="283"/>
      <c r="N392" s="168">
        <f t="shared" ref="N392:W392" si="144">C392</f>
        <v>2007</v>
      </c>
      <c r="O392" s="66">
        <f t="shared" si="144"/>
        <v>2008</v>
      </c>
      <c r="P392" s="66">
        <f t="shared" si="144"/>
        <v>2009</v>
      </c>
      <c r="Q392" s="66">
        <f t="shared" si="144"/>
        <v>2010</v>
      </c>
      <c r="R392" s="66">
        <f t="shared" si="144"/>
        <v>2011</v>
      </c>
      <c r="S392" s="66">
        <f t="shared" si="144"/>
        <v>2012</v>
      </c>
      <c r="T392" s="66">
        <f t="shared" si="144"/>
        <v>2013</v>
      </c>
      <c r="U392" s="66">
        <f t="shared" si="144"/>
        <v>2014</v>
      </c>
      <c r="V392" s="66">
        <f t="shared" si="144"/>
        <v>2015</v>
      </c>
      <c r="W392" s="66">
        <f t="shared" si="144"/>
        <v>2016</v>
      </c>
      <c r="X392" s="283"/>
    </row>
    <row r="393" spans="1:24" s="8" customFormat="1" outlineLevel="2">
      <c r="B393" s="8" t="s">
        <v>1348</v>
      </c>
      <c r="C393" s="411">
        <f t="shared" ref="C393:L393" si="145">VLOOKUP($B392,$A$140:$K$175,C$183+1,FALSE)</f>
        <v>0</v>
      </c>
      <c r="D393" s="412">
        <f t="shared" si="145"/>
        <v>0</v>
      </c>
      <c r="E393" s="412">
        <f t="shared" si="145"/>
        <v>0</v>
      </c>
      <c r="F393" s="412">
        <f t="shared" si="145"/>
        <v>0</v>
      </c>
      <c r="G393" s="412">
        <f t="shared" si="145"/>
        <v>0</v>
      </c>
      <c r="H393" s="412">
        <f t="shared" si="145"/>
        <v>0</v>
      </c>
      <c r="I393" s="412">
        <f t="shared" si="145"/>
        <v>0</v>
      </c>
      <c r="J393" s="412">
        <f t="shared" si="145"/>
        <v>0</v>
      </c>
      <c r="K393" s="412">
        <f t="shared" si="145"/>
        <v>0</v>
      </c>
      <c r="L393" s="412">
        <f t="shared" si="145"/>
        <v>0</v>
      </c>
      <c r="M393" s="283"/>
      <c r="N393" s="283"/>
      <c r="X393" s="283"/>
    </row>
    <row r="394" spans="1:24" s="8" customFormat="1" outlineLevel="2">
      <c r="C394" s="413"/>
      <c r="D394" s="414"/>
      <c r="E394" s="414"/>
      <c r="F394" s="414"/>
      <c r="G394" s="414"/>
      <c r="H394" s="414"/>
      <c r="I394" s="414"/>
      <c r="J394" s="414"/>
      <c r="K394" s="414"/>
      <c r="L394" s="414"/>
      <c r="M394" s="283"/>
      <c r="N394" s="283"/>
      <c r="X394" s="283"/>
    </row>
    <row r="395" spans="1:24" s="8" customFormat="1" outlineLevel="2">
      <c r="A395" s="66" t="s">
        <v>1349</v>
      </c>
      <c r="B395" s="66" t="s">
        <v>1350</v>
      </c>
      <c r="C395" s="415"/>
      <c r="F395" s="9"/>
      <c r="M395" s="283"/>
      <c r="N395" s="283"/>
      <c r="X395" s="283"/>
    </row>
    <row r="396" spans="1:24" s="8" customFormat="1" outlineLevel="2">
      <c r="A396" s="416">
        <f>D$51</f>
        <v>0.5</v>
      </c>
      <c r="B396" s="416">
        <f>B$51</f>
        <v>0.98</v>
      </c>
      <c r="C396" s="411">
        <f>IF(C$393&gt;$A396,$A396,C$393)</f>
        <v>0</v>
      </c>
      <c r="D396" s="416">
        <f t="shared" ref="D396:L396" si="146">IF(D$393&gt;$A396,$A396,D$393)</f>
        <v>0</v>
      </c>
      <c r="E396" s="416">
        <f t="shared" si="146"/>
        <v>0</v>
      </c>
      <c r="F396" s="416">
        <f t="shared" si="146"/>
        <v>0</v>
      </c>
      <c r="G396" s="416">
        <f t="shared" si="146"/>
        <v>0</v>
      </c>
      <c r="H396" s="416">
        <f t="shared" si="146"/>
        <v>0</v>
      </c>
      <c r="I396" s="416">
        <f t="shared" si="146"/>
        <v>0</v>
      </c>
      <c r="J396" s="416">
        <f t="shared" si="146"/>
        <v>0</v>
      </c>
      <c r="K396" s="416">
        <f t="shared" si="146"/>
        <v>0</v>
      </c>
      <c r="L396" s="416">
        <f t="shared" si="146"/>
        <v>0</v>
      </c>
      <c r="M396" s="283"/>
      <c r="N396" s="405">
        <f t="shared" ref="N396:W404" si="147">C396*$B396</f>
        <v>0</v>
      </c>
      <c r="O396" s="95">
        <f t="shared" si="147"/>
        <v>0</v>
      </c>
      <c r="P396" s="95">
        <f t="shared" si="147"/>
        <v>0</v>
      </c>
      <c r="Q396" s="95">
        <f t="shared" si="147"/>
        <v>0</v>
      </c>
      <c r="R396" s="95">
        <f t="shared" si="147"/>
        <v>0</v>
      </c>
      <c r="S396" s="95">
        <f t="shared" si="147"/>
        <v>0</v>
      </c>
      <c r="T396" s="95">
        <f t="shared" si="147"/>
        <v>0</v>
      </c>
      <c r="U396" s="95">
        <f t="shared" si="147"/>
        <v>0</v>
      </c>
      <c r="V396" s="95">
        <f t="shared" si="147"/>
        <v>0</v>
      </c>
      <c r="W396" s="95">
        <f t="shared" si="147"/>
        <v>0</v>
      </c>
      <c r="X396" s="283"/>
    </row>
    <row r="397" spans="1:24" s="8" customFormat="1" outlineLevel="2">
      <c r="A397" s="416">
        <f>D$52</f>
        <v>1</v>
      </c>
      <c r="B397" s="416">
        <f>B$52</f>
        <v>0.78</v>
      </c>
      <c r="C397" s="411">
        <f>IF(C$393&gt;$A397,$A397-$A396,C$393-SUM(C396:C$396))</f>
        <v>0</v>
      </c>
      <c r="D397" s="416">
        <f>IF(D$393&gt;$A397,$A397-$A396,D$393-SUM(D396:D$396))</f>
        <v>0</v>
      </c>
      <c r="E397" s="416">
        <f>IF(E$393&gt;$A397,$A397-$A396,E$393-SUM(E396:E$396))</f>
        <v>0</v>
      </c>
      <c r="F397" s="416">
        <f>IF(F$393&gt;$A397,$A397-$A396,F$393-SUM(F396:F$396))</f>
        <v>0</v>
      </c>
      <c r="G397" s="416">
        <f>IF(G$393&gt;$A397,$A397-$A396,G$393-SUM(G396:G$396))</f>
        <v>0</v>
      </c>
      <c r="H397" s="416">
        <f>IF(H$393&gt;$A397,$A397-$A396,H$393-SUM(H396:H$396))</f>
        <v>0</v>
      </c>
      <c r="I397" s="416">
        <f>IF(I$393&gt;$A397,$A397-$A396,I$393-SUM(I396:I$396))</f>
        <v>0</v>
      </c>
      <c r="J397" s="416">
        <f>IF(J$393&gt;$A397,$A397-$A396,J$393-SUM(J396:J$396))</f>
        <v>0</v>
      </c>
      <c r="K397" s="416">
        <f>IF(K$393&gt;$A397,$A397-$A396,K$393-SUM(K396:K$396))</f>
        <v>0</v>
      </c>
      <c r="L397" s="416">
        <f>IF(L$393&gt;$A397,$A397-$A396,L$393-SUM(L396:L$396))</f>
        <v>0</v>
      </c>
      <c r="M397" s="283"/>
      <c r="N397" s="405">
        <f t="shared" si="147"/>
        <v>0</v>
      </c>
      <c r="O397" s="95">
        <f t="shared" si="147"/>
        <v>0</v>
      </c>
      <c r="P397" s="95">
        <f t="shared" si="147"/>
        <v>0</v>
      </c>
      <c r="Q397" s="95">
        <f t="shared" si="147"/>
        <v>0</v>
      </c>
      <c r="R397" s="95">
        <f t="shared" si="147"/>
        <v>0</v>
      </c>
      <c r="S397" s="95">
        <f t="shared" si="147"/>
        <v>0</v>
      </c>
      <c r="T397" s="95">
        <f t="shared" si="147"/>
        <v>0</v>
      </c>
      <c r="U397" s="95">
        <f t="shared" si="147"/>
        <v>0</v>
      </c>
      <c r="V397" s="95">
        <f t="shared" si="147"/>
        <v>0</v>
      </c>
      <c r="W397" s="95">
        <f t="shared" si="147"/>
        <v>0</v>
      </c>
      <c r="X397" s="283"/>
    </row>
    <row r="398" spans="1:24" s="8" customFormat="1" outlineLevel="2">
      <c r="A398" s="416">
        <f>D$53</f>
        <v>2</v>
      </c>
      <c r="B398" s="416">
        <f>B$53</f>
        <v>0.68</v>
      </c>
      <c r="C398" s="411">
        <f>IF(C$393&gt;$A398,$A398-$A397,C$393-SUM(C$396:C397))</f>
        <v>0</v>
      </c>
      <c r="D398" s="416">
        <f>IF(D$393&gt;$A398,$A398-$A397,D$393-SUM(D$396:D397))</f>
        <v>0</v>
      </c>
      <c r="E398" s="416">
        <f>IF(E$393&gt;$A398,$A398-$A397,E$393-SUM(E$396:E397))</f>
        <v>0</v>
      </c>
      <c r="F398" s="416">
        <f>IF(F$393&gt;$A398,$A398-$A397,F$393-SUM(F$396:F397))</f>
        <v>0</v>
      </c>
      <c r="G398" s="416">
        <f>IF(G$393&gt;$A398,$A398-$A397,G$393-SUM(G$396:G397))</f>
        <v>0</v>
      </c>
      <c r="H398" s="416">
        <f>IF(H$393&gt;$A398,$A398-$A397,H$393-SUM(H$396:H397))</f>
        <v>0</v>
      </c>
      <c r="I398" s="416">
        <f>IF(I$393&gt;$A398,$A398-$A397,I$393-SUM(I$396:I397))</f>
        <v>0</v>
      </c>
      <c r="J398" s="416">
        <f>IF(J$393&gt;$A398,$A398-$A397,J$393-SUM(J$396:J397))</f>
        <v>0</v>
      </c>
      <c r="K398" s="416">
        <f>IF(K$393&gt;$A398,$A398-$A397,K$393-SUM(K$396:K397))</f>
        <v>0</v>
      </c>
      <c r="L398" s="416">
        <f>IF(L$393&gt;$A398,$A398-$A397,L$393-SUM(L$396:L397))</f>
        <v>0</v>
      </c>
      <c r="M398" s="283"/>
      <c r="N398" s="405">
        <f t="shared" si="147"/>
        <v>0</v>
      </c>
      <c r="O398" s="95">
        <f t="shared" si="147"/>
        <v>0</v>
      </c>
      <c r="P398" s="95">
        <f t="shared" si="147"/>
        <v>0</v>
      </c>
      <c r="Q398" s="95">
        <f t="shared" si="147"/>
        <v>0</v>
      </c>
      <c r="R398" s="95">
        <f t="shared" si="147"/>
        <v>0</v>
      </c>
      <c r="S398" s="95">
        <f t="shared" si="147"/>
        <v>0</v>
      </c>
      <c r="T398" s="95">
        <f t="shared" si="147"/>
        <v>0</v>
      </c>
      <c r="U398" s="95">
        <f t="shared" si="147"/>
        <v>0</v>
      </c>
      <c r="V398" s="95">
        <f t="shared" si="147"/>
        <v>0</v>
      </c>
      <c r="W398" s="95">
        <f t="shared" si="147"/>
        <v>0</v>
      </c>
      <c r="X398" s="283"/>
    </row>
    <row r="399" spans="1:24" s="8" customFormat="1" outlineLevel="2">
      <c r="A399" s="416">
        <f>D$54</f>
        <v>5</v>
      </c>
      <c r="B399" s="416">
        <f>B$54</f>
        <v>0.45</v>
      </c>
      <c r="C399" s="411">
        <f>IF(C$393&gt;$A399,$A399-$A398,C$393-SUM(C$396:C398))</f>
        <v>0</v>
      </c>
      <c r="D399" s="416">
        <f>IF(D$393&gt;$A399,$A399-$A398,D$393-SUM(D$396:D398))</f>
        <v>0</v>
      </c>
      <c r="E399" s="416">
        <f>IF(E$393&gt;$A399,$A399-$A398,E$393-SUM(E$396:E398))</f>
        <v>0</v>
      </c>
      <c r="F399" s="416">
        <f>IF(F$393&gt;$A399,$A399-$A398,F$393-SUM(F$396:F398))</f>
        <v>0</v>
      </c>
      <c r="G399" s="416">
        <f>IF(G$393&gt;$A399,$A399-$A398,G$393-SUM(G$396:G398))</f>
        <v>0</v>
      </c>
      <c r="H399" s="416">
        <f>IF(H$393&gt;$A399,$A399-$A398,H$393-SUM(H$396:H398))</f>
        <v>0</v>
      </c>
      <c r="I399" s="416">
        <f>IF(I$393&gt;$A399,$A399-$A398,I$393-SUM(I$396:I398))</f>
        <v>0</v>
      </c>
      <c r="J399" s="416">
        <f>IF(J$393&gt;$A399,$A399-$A398,J$393-SUM(J$396:J398))</f>
        <v>0</v>
      </c>
      <c r="K399" s="416">
        <f>IF(K$393&gt;$A399,$A399-$A398,K$393-SUM(K$396:K398))</f>
        <v>0</v>
      </c>
      <c r="L399" s="416">
        <f>IF(L$393&gt;$A399,$A399-$A398,L$393-SUM(L$396:L398))</f>
        <v>0</v>
      </c>
      <c r="M399" s="283"/>
      <c r="N399" s="405">
        <f t="shared" si="147"/>
        <v>0</v>
      </c>
      <c r="O399" s="95">
        <f t="shared" si="147"/>
        <v>0</v>
      </c>
      <c r="P399" s="95">
        <f t="shared" si="147"/>
        <v>0</v>
      </c>
      <c r="Q399" s="95">
        <f t="shared" si="147"/>
        <v>0</v>
      </c>
      <c r="R399" s="95">
        <f t="shared" si="147"/>
        <v>0</v>
      </c>
      <c r="S399" s="95">
        <f t="shared" si="147"/>
        <v>0</v>
      </c>
      <c r="T399" s="95">
        <f t="shared" si="147"/>
        <v>0</v>
      </c>
      <c r="U399" s="95">
        <f t="shared" si="147"/>
        <v>0</v>
      </c>
      <c r="V399" s="95">
        <f t="shared" si="147"/>
        <v>0</v>
      </c>
      <c r="W399" s="95">
        <f t="shared" si="147"/>
        <v>0</v>
      </c>
      <c r="X399" s="283"/>
    </row>
    <row r="400" spans="1:24" s="8" customFormat="1" outlineLevel="2">
      <c r="A400" s="416">
        <f>D$55</f>
        <v>10</v>
      </c>
      <c r="B400" s="416">
        <f>B$55</f>
        <v>0.42</v>
      </c>
      <c r="C400" s="411">
        <f>IF(C$393&gt;$A400,$A400-$A399,C$393-SUM(C$396:C399))</f>
        <v>0</v>
      </c>
      <c r="D400" s="416">
        <f>IF(D$393&gt;$A400,$A400-$A399,D$393-SUM(D$396:D399))</f>
        <v>0</v>
      </c>
      <c r="E400" s="416">
        <f>IF(E$393&gt;$A400,$A400-$A399,E$393-SUM(E$396:E399))</f>
        <v>0</v>
      </c>
      <c r="F400" s="416">
        <f>IF(F$393&gt;$A400,$A400-$A399,F$393-SUM(F$396:F399))</f>
        <v>0</v>
      </c>
      <c r="G400" s="416">
        <f>IF(G$393&gt;$A400,$A400-$A399,G$393-SUM(G$396:G399))</f>
        <v>0</v>
      </c>
      <c r="H400" s="416">
        <f>IF(H$393&gt;$A400,$A400-$A399,H$393-SUM(H$396:H399))</f>
        <v>0</v>
      </c>
      <c r="I400" s="416">
        <f>IF(I$393&gt;$A400,$A400-$A399,I$393-SUM(I$396:I399))</f>
        <v>0</v>
      </c>
      <c r="J400" s="416">
        <f>IF(J$393&gt;$A400,$A400-$A399,J$393-SUM(J$396:J399))</f>
        <v>0</v>
      </c>
      <c r="K400" s="416">
        <f>IF(K$393&gt;$A400,$A400-$A399,K$393-SUM(K$396:K399))</f>
        <v>0</v>
      </c>
      <c r="L400" s="416">
        <f>IF(L$393&gt;$A400,$A400-$A399,L$393-SUM(L$396:L399))</f>
        <v>0</v>
      </c>
      <c r="M400" s="283"/>
      <c r="N400" s="405">
        <f t="shared" si="147"/>
        <v>0</v>
      </c>
      <c r="O400" s="95">
        <f t="shared" si="147"/>
        <v>0</v>
      </c>
      <c r="P400" s="95">
        <f t="shared" si="147"/>
        <v>0</v>
      </c>
      <c r="Q400" s="95">
        <f t="shared" si="147"/>
        <v>0</v>
      </c>
      <c r="R400" s="95">
        <f t="shared" si="147"/>
        <v>0</v>
      </c>
      <c r="S400" s="95">
        <f t="shared" si="147"/>
        <v>0</v>
      </c>
      <c r="T400" s="95">
        <f t="shared" si="147"/>
        <v>0</v>
      </c>
      <c r="U400" s="95">
        <f t="shared" si="147"/>
        <v>0</v>
      </c>
      <c r="V400" s="95">
        <f t="shared" si="147"/>
        <v>0</v>
      </c>
      <c r="W400" s="95">
        <f t="shared" si="147"/>
        <v>0</v>
      </c>
      <c r="X400" s="283"/>
    </row>
    <row r="401" spans="1:24" s="8" customFormat="1" outlineLevel="2">
      <c r="A401" s="416">
        <f>D$56</f>
        <v>20</v>
      </c>
      <c r="B401" s="416">
        <f>B$56</f>
        <v>0.22</v>
      </c>
      <c r="C401" s="411">
        <f>IF(C$393&gt;$A401,$A401-$A400,C$393-SUM(C$396:C400))</f>
        <v>0</v>
      </c>
      <c r="D401" s="416">
        <f>IF(D$393&gt;$A401,$A401-$A400,D$393-SUM(D$396:D400))</f>
        <v>0</v>
      </c>
      <c r="E401" s="416">
        <f>IF(E$393&gt;$A401,$A401-$A400,E$393-SUM(E$396:E400))</f>
        <v>0</v>
      </c>
      <c r="F401" s="416">
        <f>IF(F$393&gt;$A401,$A401-$A400,F$393-SUM(F$396:F400))</f>
        <v>0</v>
      </c>
      <c r="G401" s="416">
        <f>IF(G$393&gt;$A401,$A401-$A400,G$393-SUM(G$396:G400))</f>
        <v>0</v>
      </c>
      <c r="H401" s="416">
        <f>IF(H$393&gt;$A401,$A401-$A400,H$393-SUM(H$396:H400))</f>
        <v>0</v>
      </c>
      <c r="I401" s="416">
        <f>IF(I$393&gt;$A401,$A401-$A400,I$393-SUM(I$396:I400))</f>
        <v>0</v>
      </c>
      <c r="J401" s="416">
        <f>IF(J$393&gt;$A401,$A401-$A400,J$393-SUM(J$396:J400))</f>
        <v>0</v>
      </c>
      <c r="K401" s="416">
        <f>IF(K$393&gt;$A401,$A401-$A400,K$393-SUM(K$396:K400))</f>
        <v>0</v>
      </c>
      <c r="L401" s="416">
        <f>IF(L$393&gt;$A401,$A401-$A400,L$393-SUM(L$396:L400))</f>
        <v>0</v>
      </c>
      <c r="M401" s="283"/>
      <c r="N401" s="405">
        <f t="shared" si="147"/>
        <v>0</v>
      </c>
      <c r="O401" s="95">
        <f t="shared" si="147"/>
        <v>0</v>
      </c>
      <c r="P401" s="95">
        <f t="shared" si="147"/>
        <v>0</v>
      </c>
      <c r="Q401" s="95">
        <f t="shared" si="147"/>
        <v>0</v>
      </c>
      <c r="R401" s="95">
        <f t="shared" si="147"/>
        <v>0</v>
      </c>
      <c r="S401" s="95">
        <f t="shared" si="147"/>
        <v>0</v>
      </c>
      <c r="T401" s="95">
        <f t="shared" si="147"/>
        <v>0</v>
      </c>
      <c r="U401" s="95">
        <f t="shared" si="147"/>
        <v>0</v>
      </c>
      <c r="V401" s="95">
        <f t="shared" si="147"/>
        <v>0</v>
      </c>
      <c r="W401" s="95">
        <f t="shared" si="147"/>
        <v>0</v>
      </c>
      <c r="X401" s="283"/>
    </row>
    <row r="402" spans="1:24" s="8" customFormat="1" outlineLevel="2">
      <c r="A402" s="416">
        <f>D$57</f>
        <v>50</v>
      </c>
      <c r="B402" s="416">
        <f>B$57</f>
        <v>0.2</v>
      </c>
      <c r="C402" s="411">
        <f>IF(C$393&gt;$A402,$A402-$A401,C$393-SUM(C$396:C401))</f>
        <v>0</v>
      </c>
      <c r="D402" s="416">
        <f>IF(D$393&gt;$A402,$A402-$A401,D$393-SUM(D$396:D401))</f>
        <v>0</v>
      </c>
      <c r="E402" s="416">
        <f>IF(E$393&gt;$A402,$A402-$A401,E$393-SUM(E$396:E401))</f>
        <v>0</v>
      </c>
      <c r="F402" s="416">
        <f>IF(F$393&gt;$A402,$A402-$A401,F$393-SUM(F$396:F401))</f>
        <v>0</v>
      </c>
      <c r="G402" s="416">
        <f>IF(G$393&gt;$A402,$A402-$A401,G$393-SUM(G$396:G401))</f>
        <v>0</v>
      </c>
      <c r="H402" s="416">
        <f>IF(H$393&gt;$A402,$A402-$A401,H$393-SUM(H$396:H401))</f>
        <v>0</v>
      </c>
      <c r="I402" s="416">
        <f>IF(I$393&gt;$A402,$A402-$A401,I$393-SUM(I$396:I401))</f>
        <v>0</v>
      </c>
      <c r="J402" s="416">
        <f>IF(J$393&gt;$A402,$A402-$A401,J$393-SUM(J$396:J401))</f>
        <v>0</v>
      </c>
      <c r="K402" s="416">
        <f>IF(K$393&gt;$A402,$A402-$A401,K$393-SUM(K$396:K401))</f>
        <v>0</v>
      </c>
      <c r="L402" s="416">
        <f>IF(L$393&gt;$A402,$A402-$A401,L$393-SUM(L$396:L401))</f>
        <v>0</v>
      </c>
      <c r="M402" s="283"/>
      <c r="N402" s="405">
        <f t="shared" si="147"/>
        <v>0</v>
      </c>
      <c r="O402" s="95">
        <f t="shared" si="147"/>
        <v>0</v>
      </c>
      <c r="P402" s="95">
        <f t="shared" si="147"/>
        <v>0</v>
      </c>
      <c r="Q402" s="95">
        <f t="shared" si="147"/>
        <v>0</v>
      </c>
      <c r="R402" s="95">
        <f t="shared" si="147"/>
        <v>0</v>
      </c>
      <c r="S402" s="95">
        <f t="shared" si="147"/>
        <v>0</v>
      </c>
      <c r="T402" s="95">
        <f t="shared" si="147"/>
        <v>0</v>
      </c>
      <c r="U402" s="95">
        <f t="shared" si="147"/>
        <v>0</v>
      </c>
      <c r="V402" s="95">
        <f t="shared" si="147"/>
        <v>0</v>
      </c>
      <c r="W402" s="95">
        <f t="shared" si="147"/>
        <v>0</v>
      </c>
      <c r="X402" s="283"/>
    </row>
    <row r="403" spans="1:24" s="8" customFormat="1" outlineLevel="2">
      <c r="A403" s="416">
        <f>D$58</f>
        <v>75</v>
      </c>
      <c r="B403" s="416">
        <f>B$58</f>
        <v>0.15</v>
      </c>
      <c r="C403" s="411">
        <f>IF(C$393&gt;$A403,$A403-$A402,C$393-SUM(C$396:C402))</f>
        <v>0</v>
      </c>
      <c r="D403" s="416">
        <f>IF(D$393&gt;$A403,$A403-$A402,D$393-SUM(D$396:D402))</f>
        <v>0</v>
      </c>
      <c r="E403" s="416">
        <f>IF(E$393&gt;$A403,$A403-$A402,E$393-SUM(E$396:E402))</f>
        <v>0</v>
      </c>
      <c r="F403" s="416">
        <f>IF(F$393&gt;$A403,$A403-$A402,F$393-SUM(F$396:F402))</f>
        <v>0</v>
      </c>
      <c r="G403" s="416">
        <f>IF(G$393&gt;$A403,$A403-$A402,G$393-SUM(G$396:G402))</f>
        <v>0</v>
      </c>
      <c r="H403" s="416">
        <f>IF(H$393&gt;$A403,$A403-$A402,H$393-SUM(H$396:H402))</f>
        <v>0</v>
      </c>
      <c r="I403" s="416">
        <f>IF(I$393&gt;$A403,$A403-$A402,I$393-SUM(I$396:I402))</f>
        <v>0</v>
      </c>
      <c r="J403" s="416">
        <f>IF(J$393&gt;$A403,$A403-$A402,J$393-SUM(J$396:J402))</f>
        <v>0</v>
      </c>
      <c r="K403" s="416">
        <f>IF(K$393&gt;$A403,$A403-$A402,K$393-SUM(K$396:K402))</f>
        <v>0</v>
      </c>
      <c r="L403" s="416">
        <f>IF(L$393&gt;$A403,$A403-$A402,L$393-SUM(L$396:L402))</f>
        <v>0</v>
      </c>
      <c r="M403" s="283"/>
      <c r="N403" s="405">
        <f t="shared" si="147"/>
        <v>0</v>
      </c>
      <c r="O403" s="95">
        <f t="shared" si="147"/>
        <v>0</v>
      </c>
      <c r="P403" s="95">
        <f t="shared" si="147"/>
        <v>0</v>
      </c>
      <c r="Q403" s="95">
        <f t="shared" si="147"/>
        <v>0</v>
      </c>
      <c r="R403" s="95">
        <f t="shared" si="147"/>
        <v>0</v>
      </c>
      <c r="S403" s="95">
        <f t="shared" si="147"/>
        <v>0</v>
      </c>
      <c r="T403" s="95">
        <f t="shared" si="147"/>
        <v>0</v>
      </c>
      <c r="U403" s="95">
        <f t="shared" si="147"/>
        <v>0</v>
      </c>
      <c r="V403" s="95">
        <f t="shared" si="147"/>
        <v>0</v>
      </c>
      <c r="W403" s="95">
        <f t="shared" si="147"/>
        <v>0</v>
      </c>
      <c r="X403" s="283"/>
    </row>
    <row r="404" spans="1:24" s="8" customFormat="1" outlineLevel="2">
      <c r="A404" s="416">
        <f>D$59</f>
        <v>9999</v>
      </c>
      <c r="B404" s="416">
        <f>B$59</f>
        <v>0.1</v>
      </c>
      <c r="C404" s="411">
        <f>IF(C$393&gt;$A404,$A404-$A403,C$393-SUM(C$396:C403))</f>
        <v>0</v>
      </c>
      <c r="D404" s="416">
        <f>IF(D$393&gt;$A404,$A404-$A403,D$393-SUM(D$396:D403))</f>
        <v>0</v>
      </c>
      <c r="E404" s="416">
        <f>IF(E$393&gt;$A404,$A404-$A403,E$393-SUM(E$396:E403))</f>
        <v>0</v>
      </c>
      <c r="F404" s="416">
        <f>IF(F$393&gt;$A404,$A404-$A403,F$393-SUM(F$396:F403))</f>
        <v>0</v>
      </c>
      <c r="G404" s="416">
        <f>IF(G$393&gt;$A404,$A404-$A403,G$393-SUM(G$396:G403))</f>
        <v>0</v>
      </c>
      <c r="H404" s="416">
        <f>IF(H$393&gt;$A404,$A404-$A403,H$393-SUM(H$396:H403))</f>
        <v>0</v>
      </c>
      <c r="I404" s="416">
        <f>IF(I$393&gt;$A404,$A404-$A403,I$393-SUM(I$396:I403))</f>
        <v>0</v>
      </c>
      <c r="J404" s="416">
        <f>IF(J$393&gt;$A404,$A404-$A403,J$393-SUM(J$396:J403))</f>
        <v>0</v>
      </c>
      <c r="K404" s="416">
        <f>IF(K$393&gt;$A404,$A404-$A403,K$393-SUM(K$396:K403))</f>
        <v>0</v>
      </c>
      <c r="L404" s="416">
        <f>IF(L$393&gt;$A404,$A404-$A403,L$393-SUM(L$396:L403))</f>
        <v>0</v>
      </c>
      <c r="M404" s="283"/>
      <c r="N404" s="405">
        <f t="shared" si="147"/>
        <v>0</v>
      </c>
      <c r="O404" s="95">
        <f t="shared" si="147"/>
        <v>0</v>
      </c>
      <c r="P404" s="95">
        <f t="shared" si="147"/>
        <v>0</v>
      </c>
      <c r="Q404" s="95">
        <f t="shared" si="147"/>
        <v>0</v>
      </c>
      <c r="R404" s="95">
        <f t="shared" si="147"/>
        <v>0</v>
      </c>
      <c r="S404" s="95">
        <f t="shared" si="147"/>
        <v>0</v>
      </c>
      <c r="T404" s="95">
        <f t="shared" si="147"/>
        <v>0</v>
      </c>
      <c r="U404" s="95">
        <f t="shared" si="147"/>
        <v>0</v>
      </c>
      <c r="V404" s="95">
        <f t="shared" si="147"/>
        <v>0</v>
      </c>
      <c r="W404" s="95">
        <f t="shared" si="147"/>
        <v>0</v>
      </c>
      <c r="X404" s="283"/>
    </row>
    <row r="405" spans="1:24" s="8" customFormat="1" outlineLevel="1">
      <c r="A405" s="404"/>
      <c r="B405" s="417" t="str">
        <f>CONCATENATE(B392," Total")</f>
        <v>Micromax Total</v>
      </c>
      <c r="C405" s="418">
        <f>SUM(C396:C404)</f>
        <v>0</v>
      </c>
      <c r="D405" s="419">
        <f t="shared" ref="D405:L405" si="148">SUM(D396:D404)</f>
        <v>0</v>
      </c>
      <c r="E405" s="419">
        <f t="shared" si="148"/>
        <v>0</v>
      </c>
      <c r="F405" s="419">
        <f t="shared" si="148"/>
        <v>0</v>
      </c>
      <c r="G405" s="419">
        <f t="shared" si="148"/>
        <v>0</v>
      </c>
      <c r="H405" s="419">
        <f t="shared" si="148"/>
        <v>0</v>
      </c>
      <c r="I405" s="419">
        <f t="shared" si="148"/>
        <v>0</v>
      </c>
      <c r="J405" s="419">
        <f t="shared" si="148"/>
        <v>0</v>
      </c>
      <c r="K405" s="419">
        <f t="shared" si="148"/>
        <v>0</v>
      </c>
      <c r="L405" s="419">
        <f t="shared" si="148"/>
        <v>0</v>
      </c>
      <c r="M405" s="283"/>
      <c r="N405" s="420">
        <f>SUM(N396:N404)</f>
        <v>0</v>
      </c>
      <c r="O405" s="420">
        <f t="shared" ref="O405:W405" si="149">SUM(O396:O404)</f>
        <v>0</v>
      </c>
      <c r="P405" s="420">
        <f t="shared" si="149"/>
        <v>0</v>
      </c>
      <c r="Q405" s="420">
        <f t="shared" si="149"/>
        <v>0</v>
      </c>
      <c r="R405" s="420">
        <f t="shared" si="149"/>
        <v>0</v>
      </c>
      <c r="S405" s="420">
        <f t="shared" si="149"/>
        <v>0</v>
      </c>
      <c r="T405" s="420">
        <f t="shared" si="149"/>
        <v>0</v>
      </c>
      <c r="U405" s="420">
        <f t="shared" si="149"/>
        <v>0</v>
      </c>
      <c r="V405" s="420">
        <f t="shared" si="149"/>
        <v>0</v>
      </c>
      <c r="W405" s="420">
        <f t="shared" si="149"/>
        <v>0</v>
      </c>
      <c r="X405" s="283"/>
    </row>
    <row r="406" spans="1:24" s="8" customFormat="1" outlineLevel="1">
      <c r="B406" s="421" t="s">
        <v>778</v>
      </c>
      <c r="C406" s="422">
        <f t="shared" ref="C406:L406" si="150">C405-C393</f>
        <v>0</v>
      </c>
      <c r="D406" s="423">
        <f t="shared" si="150"/>
        <v>0</v>
      </c>
      <c r="E406" s="423">
        <f t="shared" si="150"/>
        <v>0</v>
      </c>
      <c r="F406" s="423">
        <f t="shared" si="150"/>
        <v>0</v>
      </c>
      <c r="G406" s="423">
        <f t="shared" si="150"/>
        <v>0</v>
      </c>
      <c r="H406" s="423">
        <f t="shared" si="150"/>
        <v>0</v>
      </c>
      <c r="I406" s="423">
        <f t="shared" si="150"/>
        <v>0</v>
      </c>
      <c r="J406" s="423">
        <f t="shared" si="150"/>
        <v>0</v>
      </c>
      <c r="K406" s="423">
        <f t="shared" si="150"/>
        <v>0</v>
      </c>
      <c r="L406" s="423">
        <f t="shared" si="150"/>
        <v>0</v>
      </c>
      <c r="M406" s="283"/>
      <c r="N406" s="283"/>
      <c r="O406" s="283"/>
      <c r="P406" s="283"/>
      <c r="Q406" s="283"/>
      <c r="R406" s="283"/>
      <c r="S406" s="283"/>
      <c r="T406" s="283"/>
      <c r="U406" s="283"/>
      <c r="V406" s="283"/>
      <c r="W406" s="283"/>
      <c r="X406" s="283"/>
    </row>
    <row r="407" spans="1:24" s="8" customFormat="1" outlineLevel="1">
      <c r="C407" s="283"/>
      <c r="M407" s="283"/>
      <c r="X407" s="283"/>
    </row>
    <row r="408" spans="1:24" s="8" customFormat="1" outlineLevel="1" collapsed="1">
      <c r="A408" s="8">
        <f>A392+1</f>
        <v>15</v>
      </c>
      <c r="B408" s="424" t="str">
        <f>A154</f>
        <v>Microsoft</v>
      </c>
      <c r="C408" s="80">
        <v>2007</v>
      </c>
      <c r="D408" s="66">
        <f>C408+1</f>
        <v>2008</v>
      </c>
      <c r="E408" s="66">
        <f t="shared" ref="E408:L408" si="151">D408+1</f>
        <v>2009</v>
      </c>
      <c r="F408" s="66">
        <f t="shared" si="151"/>
        <v>2010</v>
      </c>
      <c r="G408" s="66">
        <f t="shared" si="151"/>
        <v>2011</v>
      </c>
      <c r="H408" s="66">
        <f t="shared" si="151"/>
        <v>2012</v>
      </c>
      <c r="I408" s="66">
        <f t="shared" si="151"/>
        <v>2013</v>
      </c>
      <c r="J408" s="66">
        <f t="shared" si="151"/>
        <v>2014</v>
      </c>
      <c r="K408" s="66">
        <f t="shared" si="151"/>
        <v>2015</v>
      </c>
      <c r="L408" s="66">
        <f t="shared" si="151"/>
        <v>2016</v>
      </c>
      <c r="M408" s="283"/>
      <c r="N408" s="168">
        <f t="shared" ref="N408:W408" si="152">C408</f>
        <v>2007</v>
      </c>
      <c r="O408" s="66">
        <f t="shared" si="152"/>
        <v>2008</v>
      </c>
      <c r="P408" s="66">
        <f t="shared" si="152"/>
        <v>2009</v>
      </c>
      <c r="Q408" s="66">
        <f t="shared" si="152"/>
        <v>2010</v>
      </c>
      <c r="R408" s="66">
        <f t="shared" si="152"/>
        <v>2011</v>
      </c>
      <c r="S408" s="66">
        <f t="shared" si="152"/>
        <v>2012</v>
      </c>
      <c r="T408" s="66">
        <f t="shared" si="152"/>
        <v>2013</v>
      </c>
      <c r="U408" s="66">
        <f t="shared" si="152"/>
        <v>2014</v>
      </c>
      <c r="V408" s="66">
        <f t="shared" si="152"/>
        <v>2015</v>
      </c>
      <c r="W408" s="66">
        <f t="shared" si="152"/>
        <v>2016</v>
      </c>
      <c r="X408" s="283"/>
    </row>
    <row r="409" spans="1:24" s="8" customFormat="1" outlineLevel="2">
      <c r="B409" s="8" t="s">
        <v>1348</v>
      </c>
      <c r="C409" s="411">
        <f t="shared" ref="C409:L409" si="153">VLOOKUP($B408,$A$140:$K$175,C$183+1,FALSE)</f>
        <v>437.09999999999997</v>
      </c>
      <c r="D409" s="412">
        <f t="shared" si="153"/>
        <v>468.40000000000003</v>
      </c>
      <c r="E409" s="412">
        <f t="shared" si="153"/>
        <v>431.79999999999995</v>
      </c>
      <c r="F409" s="412">
        <f t="shared" si="153"/>
        <v>452.99999999999994</v>
      </c>
      <c r="G409" s="412">
        <f t="shared" si="153"/>
        <v>417.09999999999997</v>
      </c>
      <c r="H409" s="412">
        <f t="shared" si="153"/>
        <v>336.43951900000002</v>
      </c>
      <c r="I409" s="412">
        <f t="shared" si="153"/>
        <v>256.85342500000002</v>
      </c>
      <c r="J409" s="412">
        <f t="shared" si="153"/>
        <v>201.72779000000003</v>
      </c>
      <c r="K409" s="412">
        <f t="shared" si="153"/>
        <v>125.23004106599998</v>
      </c>
      <c r="L409" s="412">
        <f t="shared" si="153"/>
        <v>52.063072999999996</v>
      </c>
      <c r="M409" s="283"/>
      <c r="N409" s="283"/>
      <c r="X409" s="283"/>
    </row>
    <row r="410" spans="1:24" s="8" customFormat="1" outlineLevel="2">
      <c r="C410" s="413"/>
      <c r="D410" s="414"/>
      <c r="E410" s="414"/>
      <c r="F410" s="414"/>
      <c r="G410" s="414"/>
      <c r="H410" s="414"/>
      <c r="I410" s="414"/>
      <c r="J410" s="414"/>
      <c r="K410" s="414"/>
      <c r="L410" s="414"/>
      <c r="M410" s="283"/>
      <c r="N410" s="283"/>
      <c r="X410" s="283"/>
    </row>
    <row r="411" spans="1:24" s="8" customFormat="1" outlineLevel="2">
      <c r="A411" s="66" t="s">
        <v>1349</v>
      </c>
      <c r="B411" s="66" t="s">
        <v>1350</v>
      </c>
      <c r="C411" s="415"/>
      <c r="F411" s="9"/>
      <c r="M411" s="283"/>
      <c r="N411" s="283"/>
      <c r="X411" s="283"/>
    </row>
    <row r="412" spans="1:24" s="8" customFormat="1" outlineLevel="2">
      <c r="A412" s="416">
        <f>D$51</f>
        <v>0.5</v>
      </c>
      <c r="B412" s="416">
        <f>B$51</f>
        <v>0.98</v>
      </c>
      <c r="C412" s="411">
        <f>IF(C$409&gt;$A412,$A412,C$409)</f>
        <v>0.5</v>
      </c>
      <c r="D412" s="416">
        <f t="shared" ref="D412:L412" si="154">IF(D$409&gt;$A412,$A412,D$409)</f>
        <v>0.5</v>
      </c>
      <c r="E412" s="416">
        <f t="shared" si="154"/>
        <v>0.5</v>
      </c>
      <c r="F412" s="416">
        <f t="shared" si="154"/>
        <v>0.5</v>
      </c>
      <c r="G412" s="416">
        <f t="shared" si="154"/>
        <v>0.5</v>
      </c>
      <c r="H412" s="416">
        <f t="shared" si="154"/>
        <v>0.5</v>
      </c>
      <c r="I412" s="416">
        <f t="shared" si="154"/>
        <v>0.5</v>
      </c>
      <c r="J412" s="416">
        <f t="shared" si="154"/>
        <v>0.5</v>
      </c>
      <c r="K412" s="416">
        <f t="shared" si="154"/>
        <v>0.5</v>
      </c>
      <c r="L412" s="416">
        <f t="shared" si="154"/>
        <v>0.5</v>
      </c>
      <c r="M412" s="283"/>
      <c r="N412" s="405">
        <f t="shared" ref="N412:W420" si="155">C412*$B412</f>
        <v>0.49</v>
      </c>
      <c r="O412" s="95">
        <f t="shared" si="155"/>
        <v>0.49</v>
      </c>
      <c r="P412" s="95">
        <f t="shared" si="155"/>
        <v>0.49</v>
      </c>
      <c r="Q412" s="95">
        <f t="shared" si="155"/>
        <v>0.49</v>
      </c>
      <c r="R412" s="95">
        <f t="shared" si="155"/>
        <v>0.49</v>
      </c>
      <c r="S412" s="95">
        <f t="shared" si="155"/>
        <v>0.49</v>
      </c>
      <c r="T412" s="95">
        <f t="shared" si="155"/>
        <v>0.49</v>
      </c>
      <c r="U412" s="95">
        <f t="shared" si="155"/>
        <v>0.49</v>
      </c>
      <c r="V412" s="95">
        <f t="shared" si="155"/>
        <v>0.49</v>
      </c>
      <c r="W412" s="95">
        <f t="shared" si="155"/>
        <v>0.49</v>
      </c>
      <c r="X412" s="283"/>
    </row>
    <row r="413" spans="1:24" s="8" customFormat="1" outlineLevel="2">
      <c r="A413" s="416">
        <f>D$52</f>
        <v>1</v>
      </c>
      <c r="B413" s="416">
        <f>B$52</f>
        <v>0.78</v>
      </c>
      <c r="C413" s="411">
        <f>IF(C$409&gt;$A413,$A413-$A412,C$409-SUM(C412:C$412))</f>
        <v>0.5</v>
      </c>
      <c r="D413" s="416">
        <f>IF(D$409&gt;$A413,$A413-$A412,D$409-SUM(D412:D$412))</f>
        <v>0.5</v>
      </c>
      <c r="E413" s="416">
        <f>IF(E$409&gt;$A413,$A413-$A412,E$409-SUM(E412:E$412))</f>
        <v>0.5</v>
      </c>
      <c r="F413" s="416">
        <f>IF(F$409&gt;$A413,$A413-$A412,F$409-SUM(F412:F$412))</f>
        <v>0.5</v>
      </c>
      <c r="G413" s="416">
        <f>IF(G$409&gt;$A413,$A413-$A412,G$409-SUM(G412:G$412))</f>
        <v>0.5</v>
      </c>
      <c r="H413" s="416">
        <f>IF(H$409&gt;$A413,$A413-$A412,H$409-SUM(H412:H$412))</f>
        <v>0.5</v>
      </c>
      <c r="I413" s="416">
        <f>IF(I$409&gt;$A413,$A413-$A412,I$409-SUM(I412:I$412))</f>
        <v>0.5</v>
      </c>
      <c r="J413" s="416">
        <f>IF(J$409&gt;$A413,$A413-$A412,J$409-SUM(J412:J$412))</f>
        <v>0.5</v>
      </c>
      <c r="K413" s="416">
        <f>IF(K$409&gt;$A413,$A413-$A412,K$409-SUM(K412:K$412))</f>
        <v>0.5</v>
      </c>
      <c r="L413" s="416">
        <f>IF(L$409&gt;$A413,$A413-$A412,L$409-SUM(L412:L$412))</f>
        <v>0.5</v>
      </c>
      <c r="M413" s="283"/>
      <c r="N413" s="405">
        <f t="shared" si="155"/>
        <v>0.39</v>
      </c>
      <c r="O413" s="95">
        <f t="shared" si="155"/>
        <v>0.39</v>
      </c>
      <c r="P413" s="95">
        <f t="shared" si="155"/>
        <v>0.39</v>
      </c>
      <c r="Q413" s="95">
        <f t="shared" si="155"/>
        <v>0.39</v>
      </c>
      <c r="R413" s="95">
        <f t="shared" si="155"/>
        <v>0.39</v>
      </c>
      <c r="S413" s="95">
        <f t="shared" si="155"/>
        <v>0.39</v>
      </c>
      <c r="T413" s="95">
        <f t="shared" si="155"/>
        <v>0.39</v>
      </c>
      <c r="U413" s="95">
        <f t="shared" si="155"/>
        <v>0.39</v>
      </c>
      <c r="V413" s="95">
        <f t="shared" si="155"/>
        <v>0.39</v>
      </c>
      <c r="W413" s="95">
        <f t="shared" si="155"/>
        <v>0.39</v>
      </c>
      <c r="X413" s="283"/>
    </row>
    <row r="414" spans="1:24" s="8" customFormat="1" outlineLevel="2">
      <c r="A414" s="416">
        <f>D$53</f>
        <v>2</v>
      </c>
      <c r="B414" s="416">
        <f>B$53</f>
        <v>0.68</v>
      </c>
      <c r="C414" s="411">
        <f>IF(C$409&gt;$A414,$A414-$A413,C$409-SUM(C$412:C413))</f>
        <v>1</v>
      </c>
      <c r="D414" s="416">
        <f>IF(D$409&gt;$A414,$A414-$A413,D$409-SUM(D$412:D413))</f>
        <v>1</v>
      </c>
      <c r="E414" s="416">
        <f>IF(E$409&gt;$A414,$A414-$A413,E$409-SUM(E$412:E413))</f>
        <v>1</v>
      </c>
      <c r="F414" s="416">
        <f>IF(F$409&gt;$A414,$A414-$A413,F$409-SUM(F$412:F413))</f>
        <v>1</v>
      </c>
      <c r="G414" s="416">
        <f>IF(G$409&gt;$A414,$A414-$A413,G$409-SUM(G$412:G413))</f>
        <v>1</v>
      </c>
      <c r="H414" s="416">
        <f>IF(H$409&gt;$A414,$A414-$A413,H$409-SUM(H$412:H413))</f>
        <v>1</v>
      </c>
      <c r="I414" s="416">
        <f>IF(I$409&gt;$A414,$A414-$A413,I$409-SUM(I$412:I413))</f>
        <v>1</v>
      </c>
      <c r="J414" s="416">
        <f>IF(J$409&gt;$A414,$A414-$A413,J$409-SUM(J$412:J413))</f>
        <v>1</v>
      </c>
      <c r="K414" s="416">
        <f>IF(K$409&gt;$A414,$A414-$A413,K$409-SUM(K$412:K413))</f>
        <v>1</v>
      </c>
      <c r="L414" s="416">
        <f>IF(L$409&gt;$A414,$A414-$A413,L$409-SUM(L$412:L413))</f>
        <v>1</v>
      </c>
      <c r="M414" s="283"/>
      <c r="N414" s="405">
        <f t="shared" si="155"/>
        <v>0.68</v>
      </c>
      <c r="O414" s="95">
        <f t="shared" si="155"/>
        <v>0.68</v>
      </c>
      <c r="P414" s="95">
        <f t="shared" si="155"/>
        <v>0.68</v>
      </c>
      <c r="Q414" s="95">
        <f t="shared" si="155"/>
        <v>0.68</v>
      </c>
      <c r="R414" s="95">
        <f t="shared" si="155"/>
        <v>0.68</v>
      </c>
      <c r="S414" s="95">
        <f t="shared" si="155"/>
        <v>0.68</v>
      </c>
      <c r="T414" s="95">
        <f t="shared" si="155"/>
        <v>0.68</v>
      </c>
      <c r="U414" s="95">
        <f t="shared" si="155"/>
        <v>0.68</v>
      </c>
      <c r="V414" s="95">
        <f t="shared" si="155"/>
        <v>0.68</v>
      </c>
      <c r="W414" s="95">
        <f t="shared" si="155"/>
        <v>0.68</v>
      </c>
      <c r="X414" s="283"/>
    </row>
    <row r="415" spans="1:24" s="8" customFormat="1" outlineLevel="2">
      <c r="A415" s="416">
        <f>D$54</f>
        <v>5</v>
      </c>
      <c r="B415" s="416">
        <f>B$54</f>
        <v>0.45</v>
      </c>
      <c r="C415" s="411">
        <f>IF(C$409&gt;$A415,$A415-$A414,C$409-SUM(C$412:C414))</f>
        <v>3</v>
      </c>
      <c r="D415" s="416">
        <f>IF(D$409&gt;$A415,$A415-$A414,D$409-SUM(D$412:D414))</f>
        <v>3</v>
      </c>
      <c r="E415" s="416">
        <f>IF(E$409&gt;$A415,$A415-$A414,E$409-SUM(E$412:E414))</f>
        <v>3</v>
      </c>
      <c r="F415" s="416">
        <f>IF(F$409&gt;$A415,$A415-$A414,F$409-SUM(F$412:F414))</f>
        <v>3</v>
      </c>
      <c r="G415" s="416">
        <f>IF(G$409&gt;$A415,$A415-$A414,G$409-SUM(G$412:G414))</f>
        <v>3</v>
      </c>
      <c r="H415" s="416">
        <f>IF(H$409&gt;$A415,$A415-$A414,H$409-SUM(H$412:H414))</f>
        <v>3</v>
      </c>
      <c r="I415" s="416">
        <f>IF(I$409&gt;$A415,$A415-$A414,I$409-SUM(I$412:I414))</f>
        <v>3</v>
      </c>
      <c r="J415" s="416">
        <f>IF(J$409&gt;$A415,$A415-$A414,J$409-SUM(J$412:J414))</f>
        <v>3</v>
      </c>
      <c r="K415" s="416">
        <f>IF(K$409&gt;$A415,$A415-$A414,K$409-SUM(K$412:K414))</f>
        <v>3</v>
      </c>
      <c r="L415" s="416">
        <f>IF(L$409&gt;$A415,$A415-$A414,L$409-SUM(L$412:L414))</f>
        <v>3</v>
      </c>
      <c r="M415" s="283"/>
      <c r="N415" s="405">
        <f t="shared" si="155"/>
        <v>1.35</v>
      </c>
      <c r="O415" s="95">
        <f t="shared" si="155"/>
        <v>1.35</v>
      </c>
      <c r="P415" s="95">
        <f t="shared" si="155"/>
        <v>1.35</v>
      </c>
      <c r="Q415" s="95">
        <f t="shared" si="155"/>
        <v>1.35</v>
      </c>
      <c r="R415" s="95">
        <f t="shared" si="155"/>
        <v>1.35</v>
      </c>
      <c r="S415" s="95">
        <f t="shared" si="155"/>
        <v>1.35</v>
      </c>
      <c r="T415" s="95">
        <f t="shared" si="155"/>
        <v>1.35</v>
      </c>
      <c r="U415" s="95">
        <f t="shared" si="155"/>
        <v>1.35</v>
      </c>
      <c r="V415" s="95">
        <f t="shared" si="155"/>
        <v>1.35</v>
      </c>
      <c r="W415" s="95">
        <f t="shared" si="155"/>
        <v>1.35</v>
      </c>
      <c r="X415" s="283"/>
    </row>
    <row r="416" spans="1:24" s="8" customFormat="1" outlineLevel="2">
      <c r="A416" s="416">
        <f>D$55</f>
        <v>10</v>
      </c>
      <c r="B416" s="416">
        <f>B$55</f>
        <v>0.42</v>
      </c>
      <c r="C416" s="411">
        <f>IF(C$409&gt;$A416,$A416-$A415,C$409-SUM(C$412:C415))</f>
        <v>5</v>
      </c>
      <c r="D416" s="416">
        <f>IF(D$409&gt;$A416,$A416-$A415,D$409-SUM(D$412:D415))</f>
        <v>5</v>
      </c>
      <c r="E416" s="416">
        <f>IF(E$409&gt;$A416,$A416-$A415,E$409-SUM(E$412:E415))</f>
        <v>5</v>
      </c>
      <c r="F416" s="416">
        <f>IF(F$409&gt;$A416,$A416-$A415,F$409-SUM(F$412:F415))</f>
        <v>5</v>
      </c>
      <c r="G416" s="416">
        <f>IF(G$409&gt;$A416,$A416-$A415,G$409-SUM(G$412:G415))</f>
        <v>5</v>
      </c>
      <c r="H416" s="416">
        <f>IF(H$409&gt;$A416,$A416-$A415,H$409-SUM(H$412:H415))</f>
        <v>5</v>
      </c>
      <c r="I416" s="416">
        <f>IF(I$409&gt;$A416,$A416-$A415,I$409-SUM(I$412:I415))</f>
        <v>5</v>
      </c>
      <c r="J416" s="416">
        <f>IF(J$409&gt;$A416,$A416-$A415,J$409-SUM(J$412:J415))</f>
        <v>5</v>
      </c>
      <c r="K416" s="416">
        <f>IF(K$409&gt;$A416,$A416-$A415,K$409-SUM(K$412:K415))</f>
        <v>5</v>
      </c>
      <c r="L416" s="416">
        <f>IF(L$409&gt;$A416,$A416-$A415,L$409-SUM(L$412:L415))</f>
        <v>5</v>
      </c>
      <c r="M416" s="283"/>
      <c r="N416" s="405">
        <f t="shared" si="155"/>
        <v>2.1</v>
      </c>
      <c r="O416" s="95">
        <f t="shared" si="155"/>
        <v>2.1</v>
      </c>
      <c r="P416" s="95">
        <f t="shared" si="155"/>
        <v>2.1</v>
      </c>
      <c r="Q416" s="95">
        <f t="shared" si="155"/>
        <v>2.1</v>
      </c>
      <c r="R416" s="95">
        <f t="shared" si="155"/>
        <v>2.1</v>
      </c>
      <c r="S416" s="95">
        <f t="shared" si="155"/>
        <v>2.1</v>
      </c>
      <c r="T416" s="95">
        <f t="shared" si="155"/>
        <v>2.1</v>
      </c>
      <c r="U416" s="95">
        <f t="shared" si="155"/>
        <v>2.1</v>
      </c>
      <c r="V416" s="95">
        <f t="shared" si="155"/>
        <v>2.1</v>
      </c>
      <c r="W416" s="95">
        <f t="shared" si="155"/>
        <v>2.1</v>
      </c>
      <c r="X416" s="283"/>
    </row>
    <row r="417" spans="1:24" s="8" customFormat="1" outlineLevel="2">
      <c r="A417" s="416">
        <f>D$56</f>
        <v>20</v>
      </c>
      <c r="B417" s="416">
        <f>B$56</f>
        <v>0.22</v>
      </c>
      <c r="C417" s="411">
        <f>IF(C$409&gt;$A417,$A417-$A416,C$409-SUM(C$412:C416))</f>
        <v>10</v>
      </c>
      <c r="D417" s="416">
        <f>IF(D$409&gt;$A417,$A417-$A416,D$409-SUM(D$412:D416))</f>
        <v>10</v>
      </c>
      <c r="E417" s="416">
        <f>IF(E$409&gt;$A417,$A417-$A416,E$409-SUM(E$412:E416))</f>
        <v>10</v>
      </c>
      <c r="F417" s="416">
        <f>IF(F$409&gt;$A417,$A417-$A416,F$409-SUM(F$412:F416))</f>
        <v>10</v>
      </c>
      <c r="G417" s="416">
        <f>IF(G$409&gt;$A417,$A417-$A416,G$409-SUM(G$412:G416))</f>
        <v>10</v>
      </c>
      <c r="H417" s="416">
        <f>IF(H$409&gt;$A417,$A417-$A416,H$409-SUM(H$412:H416))</f>
        <v>10</v>
      </c>
      <c r="I417" s="416">
        <f>IF(I$409&gt;$A417,$A417-$A416,I$409-SUM(I$412:I416))</f>
        <v>10</v>
      </c>
      <c r="J417" s="416">
        <f>IF(J$409&gt;$A417,$A417-$A416,J$409-SUM(J$412:J416))</f>
        <v>10</v>
      </c>
      <c r="K417" s="416">
        <f>IF(K$409&gt;$A417,$A417-$A416,K$409-SUM(K$412:K416))</f>
        <v>10</v>
      </c>
      <c r="L417" s="416">
        <f>IF(L$409&gt;$A417,$A417-$A416,L$409-SUM(L$412:L416))</f>
        <v>10</v>
      </c>
      <c r="M417" s="283"/>
      <c r="N417" s="405">
        <f t="shared" si="155"/>
        <v>2.2000000000000002</v>
      </c>
      <c r="O417" s="95">
        <f t="shared" si="155"/>
        <v>2.2000000000000002</v>
      </c>
      <c r="P417" s="95">
        <f t="shared" si="155"/>
        <v>2.2000000000000002</v>
      </c>
      <c r="Q417" s="95">
        <f t="shared" si="155"/>
        <v>2.2000000000000002</v>
      </c>
      <c r="R417" s="95">
        <f t="shared" si="155"/>
        <v>2.2000000000000002</v>
      </c>
      <c r="S417" s="95">
        <f t="shared" si="155"/>
        <v>2.2000000000000002</v>
      </c>
      <c r="T417" s="95">
        <f t="shared" si="155"/>
        <v>2.2000000000000002</v>
      </c>
      <c r="U417" s="95">
        <f t="shared" si="155"/>
        <v>2.2000000000000002</v>
      </c>
      <c r="V417" s="95">
        <f t="shared" si="155"/>
        <v>2.2000000000000002</v>
      </c>
      <c r="W417" s="95">
        <f t="shared" si="155"/>
        <v>2.2000000000000002</v>
      </c>
      <c r="X417" s="283"/>
    </row>
    <row r="418" spans="1:24" s="8" customFormat="1" outlineLevel="2">
      <c r="A418" s="416">
        <f>D$57</f>
        <v>50</v>
      </c>
      <c r="B418" s="416">
        <f>B$57</f>
        <v>0.2</v>
      </c>
      <c r="C418" s="411">
        <f>IF(C$409&gt;$A418,$A418-$A417,C$409-SUM(C$412:C417))</f>
        <v>30</v>
      </c>
      <c r="D418" s="416">
        <f>IF(D$409&gt;$A418,$A418-$A417,D$409-SUM(D$412:D417))</f>
        <v>30</v>
      </c>
      <c r="E418" s="416">
        <f>IF(E$409&gt;$A418,$A418-$A417,E$409-SUM(E$412:E417))</f>
        <v>30</v>
      </c>
      <c r="F418" s="416">
        <f>IF(F$409&gt;$A418,$A418-$A417,F$409-SUM(F$412:F417))</f>
        <v>30</v>
      </c>
      <c r="G418" s="416">
        <f>IF(G$409&gt;$A418,$A418-$A417,G$409-SUM(G$412:G417))</f>
        <v>30</v>
      </c>
      <c r="H418" s="416">
        <f>IF(H$409&gt;$A418,$A418-$A417,H$409-SUM(H$412:H417))</f>
        <v>30</v>
      </c>
      <c r="I418" s="416">
        <f>IF(I$409&gt;$A418,$A418-$A417,I$409-SUM(I$412:I417))</f>
        <v>30</v>
      </c>
      <c r="J418" s="416">
        <f>IF(J$409&gt;$A418,$A418-$A417,J$409-SUM(J$412:J417))</f>
        <v>30</v>
      </c>
      <c r="K418" s="416">
        <f>IF(K$409&gt;$A418,$A418-$A417,K$409-SUM(K$412:K417))</f>
        <v>30</v>
      </c>
      <c r="L418" s="416">
        <f>IF(L$409&gt;$A418,$A418-$A417,L$409-SUM(L$412:L417))</f>
        <v>30</v>
      </c>
      <c r="M418" s="283"/>
      <c r="N418" s="405">
        <f t="shared" si="155"/>
        <v>6</v>
      </c>
      <c r="O418" s="95">
        <f t="shared" si="155"/>
        <v>6</v>
      </c>
      <c r="P418" s="95">
        <f t="shared" si="155"/>
        <v>6</v>
      </c>
      <c r="Q418" s="95">
        <f t="shared" si="155"/>
        <v>6</v>
      </c>
      <c r="R418" s="95">
        <f t="shared" si="155"/>
        <v>6</v>
      </c>
      <c r="S418" s="95">
        <f t="shared" si="155"/>
        <v>6</v>
      </c>
      <c r="T418" s="95">
        <f t="shared" si="155"/>
        <v>6</v>
      </c>
      <c r="U418" s="95">
        <f t="shared" si="155"/>
        <v>6</v>
      </c>
      <c r="V418" s="95">
        <f t="shared" si="155"/>
        <v>6</v>
      </c>
      <c r="W418" s="95">
        <f t="shared" si="155"/>
        <v>6</v>
      </c>
      <c r="X418" s="283"/>
    </row>
    <row r="419" spans="1:24" s="8" customFormat="1" outlineLevel="2">
      <c r="A419" s="416">
        <f>D$58</f>
        <v>75</v>
      </c>
      <c r="B419" s="416">
        <f>B$58</f>
        <v>0.15</v>
      </c>
      <c r="C419" s="411">
        <f>IF(C$409&gt;$A419,$A419-$A418,C$409-SUM(C$412:C418))</f>
        <v>25</v>
      </c>
      <c r="D419" s="416">
        <f>IF(D$409&gt;$A419,$A419-$A418,D$409-SUM(D$412:D418))</f>
        <v>25</v>
      </c>
      <c r="E419" s="416">
        <f>IF(E$409&gt;$A419,$A419-$A418,E$409-SUM(E$412:E418))</f>
        <v>25</v>
      </c>
      <c r="F419" s="416">
        <f>IF(F$409&gt;$A419,$A419-$A418,F$409-SUM(F$412:F418))</f>
        <v>25</v>
      </c>
      <c r="G419" s="416">
        <f>IF(G$409&gt;$A419,$A419-$A418,G$409-SUM(G$412:G418))</f>
        <v>25</v>
      </c>
      <c r="H419" s="416">
        <f>IF(H$409&gt;$A419,$A419-$A418,H$409-SUM(H$412:H418))</f>
        <v>25</v>
      </c>
      <c r="I419" s="416">
        <f>IF(I$409&gt;$A419,$A419-$A418,I$409-SUM(I$412:I418))</f>
        <v>25</v>
      </c>
      <c r="J419" s="416">
        <f>IF(J$409&gt;$A419,$A419-$A418,J$409-SUM(J$412:J418))</f>
        <v>25</v>
      </c>
      <c r="K419" s="416">
        <f>IF(K$409&gt;$A419,$A419-$A418,K$409-SUM(K$412:K418))</f>
        <v>25</v>
      </c>
      <c r="L419" s="416">
        <f>IF(L$409&gt;$A419,$A419-$A418,L$409-SUM(L$412:L418))</f>
        <v>2.0630729999999957</v>
      </c>
      <c r="M419" s="283"/>
      <c r="N419" s="405">
        <f t="shared" si="155"/>
        <v>3.75</v>
      </c>
      <c r="O419" s="95">
        <f t="shared" si="155"/>
        <v>3.75</v>
      </c>
      <c r="P419" s="95">
        <f t="shared" si="155"/>
        <v>3.75</v>
      </c>
      <c r="Q419" s="95">
        <f t="shared" si="155"/>
        <v>3.75</v>
      </c>
      <c r="R419" s="95">
        <f t="shared" si="155"/>
        <v>3.75</v>
      </c>
      <c r="S419" s="95">
        <f t="shared" si="155"/>
        <v>3.75</v>
      </c>
      <c r="T419" s="95">
        <f t="shared" si="155"/>
        <v>3.75</v>
      </c>
      <c r="U419" s="95">
        <f t="shared" si="155"/>
        <v>3.75</v>
      </c>
      <c r="V419" s="95">
        <f t="shared" si="155"/>
        <v>3.75</v>
      </c>
      <c r="W419" s="95">
        <f t="shared" si="155"/>
        <v>0.30946094999999935</v>
      </c>
      <c r="X419" s="283"/>
    </row>
    <row r="420" spans="1:24" s="8" customFormat="1" outlineLevel="2">
      <c r="A420" s="416">
        <f>D$59</f>
        <v>9999</v>
      </c>
      <c r="B420" s="416">
        <f>B$59</f>
        <v>0.1</v>
      </c>
      <c r="C420" s="411">
        <f>IF(C$409&gt;$A420,$A420-$A419,C$409-SUM(C$412:C419))</f>
        <v>362.09999999999997</v>
      </c>
      <c r="D420" s="416">
        <f>IF(D$409&gt;$A420,$A420-$A419,D$409-SUM(D$412:D419))</f>
        <v>393.40000000000003</v>
      </c>
      <c r="E420" s="416">
        <f>IF(E$409&gt;$A420,$A420-$A419,E$409-SUM(E$412:E419))</f>
        <v>356.79999999999995</v>
      </c>
      <c r="F420" s="416">
        <f>IF(F$409&gt;$A420,$A420-$A419,F$409-SUM(F$412:F419))</f>
        <v>377.99999999999994</v>
      </c>
      <c r="G420" s="416">
        <f>IF(G$409&gt;$A420,$A420-$A419,G$409-SUM(G$412:G419))</f>
        <v>342.09999999999997</v>
      </c>
      <c r="H420" s="416">
        <f>IF(H$409&gt;$A420,$A420-$A419,H$409-SUM(H$412:H419))</f>
        <v>261.43951900000002</v>
      </c>
      <c r="I420" s="416">
        <f>IF(I$409&gt;$A420,$A420-$A419,I$409-SUM(I$412:I419))</f>
        <v>181.85342500000002</v>
      </c>
      <c r="J420" s="416">
        <f>IF(J$409&gt;$A420,$A420-$A419,J$409-SUM(J$412:J419))</f>
        <v>126.72779000000003</v>
      </c>
      <c r="K420" s="416">
        <f>IF(K$409&gt;$A420,$A420-$A419,K$409-SUM(K$412:K419))</f>
        <v>50.230041065999984</v>
      </c>
      <c r="L420" s="416">
        <f>IF(L$409&gt;$A420,$A420-$A419,L$409-SUM(L$412:L419))</f>
        <v>0</v>
      </c>
      <c r="M420" s="283"/>
      <c r="N420" s="405">
        <f t="shared" si="155"/>
        <v>36.21</v>
      </c>
      <c r="O420" s="95">
        <f t="shared" si="155"/>
        <v>39.340000000000003</v>
      </c>
      <c r="P420" s="95">
        <f t="shared" si="155"/>
        <v>35.68</v>
      </c>
      <c r="Q420" s="95">
        <f t="shared" si="155"/>
        <v>37.799999999999997</v>
      </c>
      <c r="R420" s="95">
        <f t="shared" si="155"/>
        <v>34.21</v>
      </c>
      <c r="S420" s="95">
        <f t="shared" si="155"/>
        <v>26.143951900000005</v>
      </c>
      <c r="T420" s="95">
        <f t="shared" si="155"/>
        <v>18.185342500000001</v>
      </c>
      <c r="U420" s="95">
        <f t="shared" si="155"/>
        <v>12.672779000000004</v>
      </c>
      <c r="V420" s="95">
        <f t="shared" si="155"/>
        <v>5.0230041065999984</v>
      </c>
      <c r="W420" s="95">
        <f t="shared" si="155"/>
        <v>0</v>
      </c>
      <c r="X420" s="283"/>
    </row>
    <row r="421" spans="1:24" s="8" customFormat="1" outlineLevel="1">
      <c r="A421" s="404"/>
      <c r="B421" s="417" t="str">
        <f>CONCATENATE(B408," Total")</f>
        <v>Microsoft Total</v>
      </c>
      <c r="C421" s="418">
        <f>SUM(C412:C420)</f>
        <v>437.09999999999997</v>
      </c>
      <c r="D421" s="419">
        <f t="shared" ref="D421:L421" si="156">SUM(D412:D420)</f>
        <v>468.40000000000003</v>
      </c>
      <c r="E421" s="419">
        <f t="shared" si="156"/>
        <v>431.79999999999995</v>
      </c>
      <c r="F421" s="419">
        <f t="shared" si="156"/>
        <v>452.99999999999994</v>
      </c>
      <c r="G421" s="419">
        <f t="shared" si="156"/>
        <v>417.09999999999997</v>
      </c>
      <c r="H421" s="419">
        <f t="shared" si="156"/>
        <v>336.43951900000002</v>
      </c>
      <c r="I421" s="419">
        <f t="shared" si="156"/>
        <v>256.85342500000002</v>
      </c>
      <c r="J421" s="419">
        <f t="shared" si="156"/>
        <v>201.72779000000003</v>
      </c>
      <c r="K421" s="419">
        <f t="shared" si="156"/>
        <v>125.23004106599998</v>
      </c>
      <c r="L421" s="419">
        <f t="shared" si="156"/>
        <v>52.063072999999996</v>
      </c>
      <c r="M421" s="283"/>
      <c r="N421" s="420">
        <f>SUM(N412:N420)</f>
        <v>53.17</v>
      </c>
      <c r="O421" s="420">
        <f t="shared" ref="O421:W421" si="157">SUM(O412:O420)</f>
        <v>56.300000000000004</v>
      </c>
      <c r="P421" s="420">
        <f t="shared" si="157"/>
        <v>52.64</v>
      </c>
      <c r="Q421" s="420">
        <f t="shared" si="157"/>
        <v>54.76</v>
      </c>
      <c r="R421" s="420">
        <f t="shared" si="157"/>
        <v>51.17</v>
      </c>
      <c r="S421" s="420">
        <f t="shared" si="157"/>
        <v>43.103951900000006</v>
      </c>
      <c r="T421" s="420">
        <f t="shared" si="157"/>
        <v>35.145342499999998</v>
      </c>
      <c r="U421" s="420">
        <f t="shared" si="157"/>
        <v>29.632779000000006</v>
      </c>
      <c r="V421" s="420">
        <f t="shared" si="157"/>
        <v>21.983004106599999</v>
      </c>
      <c r="W421" s="420">
        <f t="shared" si="157"/>
        <v>13.519460950000001</v>
      </c>
      <c r="X421" s="283"/>
    </row>
    <row r="422" spans="1:24" s="8" customFormat="1" outlineLevel="1">
      <c r="B422" s="421" t="s">
        <v>778</v>
      </c>
      <c r="C422" s="422">
        <f t="shared" ref="C422:L422" si="158">C421-C409</f>
        <v>0</v>
      </c>
      <c r="D422" s="423">
        <f t="shared" si="158"/>
        <v>0</v>
      </c>
      <c r="E422" s="423">
        <f t="shared" si="158"/>
        <v>0</v>
      </c>
      <c r="F422" s="423">
        <f t="shared" si="158"/>
        <v>0</v>
      </c>
      <c r="G422" s="423">
        <f t="shared" si="158"/>
        <v>0</v>
      </c>
      <c r="H422" s="423">
        <f t="shared" si="158"/>
        <v>0</v>
      </c>
      <c r="I422" s="423">
        <f t="shared" si="158"/>
        <v>0</v>
      </c>
      <c r="J422" s="423">
        <f t="shared" si="158"/>
        <v>0</v>
      </c>
      <c r="K422" s="423">
        <f t="shared" si="158"/>
        <v>0</v>
      </c>
      <c r="L422" s="423">
        <f t="shared" si="158"/>
        <v>0</v>
      </c>
      <c r="M422" s="283"/>
      <c r="N422" s="283"/>
      <c r="O422" s="283"/>
      <c r="P422" s="283"/>
      <c r="Q422" s="283"/>
      <c r="R422" s="283"/>
      <c r="S422" s="283"/>
      <c r="T422" s="283"/>
      <c r="U422" s="283"/>
      <c r="V422" s="283"/>
      <c r="W422" s="283"/>
      <c r="X422" s="283"/>
    </row>
    <row r="423" spans="1:24" s="8" customFormat="1" outlineLevel="1">
      <c r="B423" s="283"/>
      <c r="C423" s="283"/>
      <c r="M423" s="283"/>
      <c r="X423" s="283"/>
    </row>
    <row r="424" spans="1:24" s="8" customFormat="1" outlineLevel="1" collapsed="1">
      <c r="A424" s="8">
        <f>A408+1</f>
        <v>16</v>
      </c>
      <c r="B424" s="424" t="str">
        <f>A155</f>
        <v>Mitsubishi</v>
      </c>
      <c r="C424" s="80">
        <v>2007</v>
      </c>
      <c r="D424" s="66">
        <f>C424+1</f>
        <v>2008</v>
      </c>
      <c r="E424" s="66">
        <f t="shared" ref="E424:L424" si="159">D424+1</f>
        <v>2009</v>
      </c>
      <c r="F424" s="66">
        <f t="shared" si="159"/>
        <v>2010</v>
      </c>
      <c r="G424" s="66">
        <f t="shared" si="159"/>
        <v>2011</v>
      </c>
      <c r="H424" s="66">
        <f t="shared" si="159"/>
        <v>2012</v>
      </c>
      <c r="I424" s="66">
        <f t="shared" si="159"/>
        <v>2013</v>
      </c>
      <c r="J424" s="66">
        <f t="shared" si="159"/>
        <v>2014</v>
      </c>
      <c r="K424" s="66">
        <f t="shared" si="159"/>
        <v>2015</v>
      </c>
      <c r="L424" s="66">
        <f t="shared" si="159"/>
        <v>2016</v>
      </c>
      <c r="M424" s="283"/>
      <c r="N424" s="168">
        <f t="shared" ref="N424:W424" si="160">C424</f>
        <v>2007</v>
      </c>
      <c r="O424" s="66">
        <f t="shared" si="160"/>
        <v>2008</v>
      </c>
      <c r="P424" s="66">
        <f t="shared" si="160"/>
        <v>2009</v>
      </c>
      <c r="Q424" s="66">
        <f t="shared" si="160"/>
        <v>2010</v>
      </c>
      <c r="R424" s="66">
        <f t="shared" si="160"/>
        <v>2011</v>
      </c>
      <c r="S424" s="66">
        <f t="shared" si="160"/>
        <v>2012</v>
      </c>
      <c r="T424" s="66">
        <f t="shared" si="160"/>
        <v>2013</v>
      </c>
      <c r="U424" s="66">
        <f t="shared" si="160"/>
        <v>2014</v>
      </c>
      <c r="V424" s="66">
        <f t="shared" si="160"/>
        <v>2015</v>
      </c>
      <c r="W424" s="66">
        <f t="shared" si="160"/>
        <v>2016</v>
      </c>
      <c r="X424" s="283"/>
    </row>
    <row r="425" spans="1:24" s="8" customFormat="1" outlineLevel="2">
      <c r="B425" s="8" t="s">
        <v>1348</v>
      </c>
      <c r="C425" s="411">
        <f t="shared" ref="C425:L425" si="161">VLOOKUP($B424,$A$140:$K$175,C$183+1,FALSE)</f>
        <v>3.0000000000000004</v>
      </c>
      <c r="D425" s="412">
        <f t="shared" si="161"/>
        <v>0.2</v>
      </c>
      <c r="E425" s="412">
        <f t="shared" si="161"/>
        <v>0</v>
      </c>
      <c r="F425" s="412">
        <f t="shared" si="161"/>
        <v>0</v>
      </c>
      <c r="G425" s="412">
        <f t="shared" si="161"/>
        <v>0</v>
      </c>
      <c r="H425" s="412">
        <f t="shared" si="161"/>
        <v>0</v>
      </c>
      <c r="I425" s="412">
        <f t="shared" si="161"/>
        <v>0</v>
      </c>
      <c r="J425" s="412">
        <f t="shared" si="161"/>
        <v>0</v>
      </c>
      <c r="K425" s="412">
        <f t="shared" si="161"/>
        <v>0</v>
      </c>
      <c r="L425" s="412">
        <f t="shared" si="161"/>
        <v>0</v>
      </c>
      <c r="M425" s="283"/>
      <c r="N425" s="283"/>
      <c r="X425" s="283"/>
    </row>
    <row r="426" spans="1:24" s="8" customFormat="1" outlineLevel="2">
      <c r="C426" s="413"/>
      <c r="D426" s="414"/>
      <c r="E426" s="414"/>
      <c r="F426" s="414"/>
      <c r="G426" s="414"/>
      <c r="H426" s="414"/>
      <c r="I426" s="414"/>
      <c r="J426" s="414"/>
      <c r="K426" s="414"/>
      <c r="L426" s="414"/>
      <c r="M426" s="283"/>
      <c r="N426" s="283"/>
      <c r="X426" s="283"/>
    </row>
    <row r="427" spans="1:24" s="8" customFormat="1" outlineLevel="2">
      <c r="A427" s="66" t="s">
        <v>1349</v>
      </c>
      <c r="B427" s="66" t="s">
        <v>1350</v>
      </c>
      <c r="C427" s="415"/>
      <c r="F427" s="9"/>
      <c r="M427" s="283"/>
      <c r="N427" s="283"/>
      <c r="X427" s="283"/>
    </row>
    <row r="428" spans="1:24" s="8" customFormat="1" outlineLevel="2">
      <c r="A428" s="416">
        <f>D$51</f>
        <v>0.5</v>
      </c>
      <c r="B428" s="416">
        <f>B$51</f>
        <v>0.98</v>
      </c>
      <c r="C428" s="411">
        <f>IF(C$425&gt;$A428,$A428,C$425)</f>
        <v>0.5</v>
      </c>
      <c r="D428" s="416">
        <f t="shared" ref="D428:L428" si="162">IF(D$425&gt;$A428,$A428,D$425)</f>
        <v>0.2</v>
      </c>
      <c r="E428" s="416">
        <f t="shared" si="162"/>
        <v>0</v>
      </c>
      <c r="F428" s="416">
        <f t="shared" si="162"/>
        <v>0</v>
      </c>
      <c r="G428" s="416">
        <f t="shared" si="162"/>
        <v>0</v>
      </c>
      <c r="H428" s="416">
        <f t="shared" si="162"/>
        <v>0</v>
      </c>
      <c r="I428" s="416">
        <f t="shared" si="162"/>
        <v>0</v>
      </c>
      <c r="J428" s="416">
        <f t="shared" si="162"/>
        <v>0</v>
      </c>
      <c r="K428" s="416">
        <f t="shared" si="162"/>
        <v>0</v>
      </c>
      <c r="L428" s="416">
        <f t="shared" si="162"/>
        <v>0</v>
      </c>
      <c r="M428" s="283"/>
      <c r="N428" s="405">
        <f t="shared" ref="N428:W436" si="163">C428*$B428</f>
        <v>0.49</v>
      </c>
      <c r="O428" s="95">
        <f t="shared" si="163"/>
        <v>0.19600000000000001</v>
      </c>
      <c r="P428" s="95">
        <f t="shared" si="163"/>
        <v>0</v>
      </c>
      <c r="Q428" s="95">
        <f t="shared" si="163"/>
        <v>0</v>
      </c>
      <c r="R428" s="95">
        <f t="shared" si="163"/>
        <v>0</v>
      </c>
      <c r="S428" s="95">
        <f t="shared" si="163"/>
        <v>0</v>
      </c>
      <c r="T428" s="95">
        <f t="shared" si="163"/>
        <v>0</v>
      </c>
      <c r="U428" s="95">
        <f t="shared" si="163"/>
        <v>0</v>
      </c>
      <c r="V428" s="95">
        <f t="shared" si="163"/>
        <v>0</v>
      </c>
      <c r="W428" s="95">
        <f t="shared" si="163"/>
        <v>0</v>
      </c>
      <c r="X428" s="283"/>
    </row>
    <row r="429" spans="1:24" s="8" customFormat="1" outlineLevel="2">
      <c r="A429" s="416">
        <f>D$52</f>
        <v>1</v>
      </c>
      <c r="B429" s="416">
        <f>B$52</f>
        <v>0.78</v>
      </c>
      <c r="C429" s="411">
        <f>IF(C$425&gt;$A429,$A429-$A428,C$425-SUM(C428:C$428))</f>
        <v>0.5</v>
      </c>
      <c r="D429" s="416">
        <f>IF(D$425&gt;$A429,$A429-$A428,D$425-SUM(D428:D$428))</f>
        <v>0</v>
      </c>
      <c r="E429" s="416">
        <f>IF(E$425&gt;$A429,$A429-$A428,E$425-SUM(E428:E$428))</f>
        <v>0</v>
      </c>
      <c r="F429" s="416">
        <f>IF(F$425&gt;$A429,$A429-$A428,F$425-SUM(F428:F$428))</f>
        <v>0</v>
      </c>
      <c r="G429" s="416">
        <f>IF(G$425&gt;$A429,$A429-$A428,G$425-SUM(G428:G$428))</f>
        <v>0</v>
      </c>
      <c r="H429" s="416">
        <f>IF(H$425&gt;$A429,$A429-$A428,H$425-SUM(H428:H$428))</f>
        <v>0</v>
      </c>
      <c r="I429" s="416">
        <f>IF(I$425&gt;$A429,$A429-$A428,I$425-SUM(I428:I$428))</f>
        <v>0</v>
      </c>
      <c r="J429" s="416">
        <f>IF(J$425&gt;$A429,$A429-$A428,J$425-SUM(J428:J$428))</f>
        <v>0</v>
      </c>
      <c r="K429" s="416">
        <f>IF(K$425&gt;$A429,$A429-$A428,K$425-SUM(K428:K$428))</f>
        <v>0</v>
      </c>
      <c r="L429" s="416">
        <f>IF(L$425&gt;$A429,$A429-$A428,L$425-SUM(L428:L$428))</f>
        <v>0</v>
      </c>
      <c r="M429" s="283"/>
      <c r="N429" s="405">
        <f t="shared" si="163"/>
        <v>0.39</v>
      </c>
      <c r="O429" s="95">
        <f t="shared" si="163"/>
        <v>0</v>
      </c>
      <c r="P429" s="95">
        <f t="shared" si="163"/>
        <v>0</v>
      </c>
      <c r="Q429" s="95">
        <f t="shared" si="163"/>
        <v>0</v>
      </c>
      <c r="R429" s="95">
        <f t="shared" si="163"/>
        <v>0</v>
      </c>
      <c r="S429" s="95">
        <f t="shared" si="163"/>
        <v>0</v>
      </c>
      <c r="T429" s="95">
        <f t="shared" si="163"/>
        <v>0</v>
      </c>
      <c r="U429" s="95">
        <f t="shared" si="163"/>
        <v>0</v>
      </c>
      <c r="V429" s="95">
        <f t="shared" si="163"/>
        <v>0</v>
      </c>
      <c r="W429" s="95">
        <f t="shared" si="163"/>
        <v>0</v>
      </c>
      <c r="X429" s="283"/>
    </row>
    <row r="430" spans="1:24" s="8" customFormat="1" outlineLevel="2">
      <c r="A430" s="416">
        <f>D$53</f>
        <v>2</v>
      </c>
      <c r="B430" s="416">
        <f>B$53</f>
        <v>0.68</v>
      </c>
      <c r="C430" s="411">
        <f>IF(C$425&gt;$A430,$A430-$A429,C$425-SUM(C$428:C429))</f>
        <v>1</v>
      </c>
      <c r="D430" s="416">
        <f>IF(D$425&gt;$A430,$A430-$A429,D$425-SUM(D$428:D429))</f>
        <v>0</v>
      </c>
      <c r="E430" s="416">
        <f>IF(E$425&gt;$A430,$A430-$A429,E$425-SUM(E$428:E429))</f>
        <v>0</v>
      </c>
      <c r="F430" s="416">
        <f>IF(F$425&gt;$A430,$A430-$A429,F$425-SUM(F$428:F429))</f>
        <v>0</v>
      </c>
      <c r="G430" s="416">
        <f>IF(G$425&gt;$A430,$A430-$A429,G$425-SUM(G$428:G429))</f>
        <v>0</v>
      </c>
      <c r="H430" s="416">
        <f>IF(H$425&gt;$A430,$A430-$A429,H$425-SUM(H$428:H429))</f>
        <v>0</v>
      </c>
      <c r="I430" s="416">
        <f>IF(I$425&gt;$A430,$A430-$A429,I$425-SUM(I$428:I429))</f>
        <v>0</v>
      </c>
      <c r="J430" s="416">
        <f>IF(J$425&gt;$A430,$A430-$A429,J$425-SUM(J$428:J429))</f>
        <v>0</v>
      </c>
      <c r="K430" s="416">
        <f>IF(K$425&gt;$A430,$A430-$A429,K$425-SUM(K$428:K429))</f>
        <v>0</v>
      </c>
      <c r="L430" s="416">
        <f>IF(L$425&gt;$A430,$A430-$A429,L$425-SUM(L$428:L429))</f>
        <v>0</v>
      </c>
      <c r="M430" s="283"/>
      <c r="N430" s="405">
        <f t="shared" si="163"/>
        <v>0.68</v>
      </c>
      <c r="O430" s="95">
        <f t="shared" si="163"/>
        <v>0</v>
      </c>
      <c r="P430" s="95">
        <f t="shared" si="163"/>
        <v>0</v>
      </c>
      <c r="Q430" s="95">
        <f t="shared" si="163"/>
        <v>0</v>
      </c>
      <c r="R430" s="95">
        <f t="shared" si="163"/>
        <v>0</v>
      </c>
      <c r="S430" s="95">
        <f t="shared" si="163"/>
        <v>0</v>
      </c>
      <c r="T430" s="95">
        <f t="shared" si="163"/>
        <v>0</v>
      </c>
      <c r="U430" s="95">
        <f t="shared" si="163"/>
        <v>0</v>
      </c>
      <c r="V430" s="95">
        <f t="shared" si="163"/>
        <v>0</v>
      </c>
      <c r="W430" s="95">
        <f t="shared" si="163"/>
        <v>0</v>
      </c>
      <c r="X430" s="283"/>
    </row>
    <row r="431" spans="1:24" s="8" customFormat="1" outlineLevel="2">
      <c r="A431" s="416">
        <f>D$54</f>
        <v>5</v>
      </c>
      <c r="B431" s="416">
        <f>B$54</f>
        <v>0.45</v>
      </c>
      <c r="C431" s="411">
        <f>IF(C$425&gt;$A431,$A431-$A430,C$425-SUM(C$428:C430))</f>
        <v>1.0000000000000004</v>
      </c>
      <c r="D431" s="416">
        <f>IF(D$425&gt;$A431,$A431-$A430,D$425-SUM(D$428:D430))</f>
        <v>0</v>
      </c>
      <c r="E431" s="416">
        <f>IF(E$425&gt;$A431,$A431-$A430,E$425-SUM(E$428:E430))</f>
        <v>0</v>
      </c>
      <c r="F431" s="416">
        <f>IF(F$425&gt;$A431,$A431-$A430,F$425-SUM(F$428:F430))</f>
        <v>0</v>
      </c>
      <c r="G431" s="416">
        <f>IF(G$425&gt;$A431,$A431-$A430,G$425-SUM(G$428:G430))</f>
        <v>0</v>
      </c>
      <c r="H431" s="416">
        <f>IF(H$425&gt;$A431,$A431-$A430,H$425-SUM(H$428:H430))</f>
        <v>0</v>
      </c>
      <c r="I431" s="416">
        <f>IF(I$425&gt;$A431,$A431-$A430,I$425-SUM(I$428:I430))</f>
        <v>0</v>
      </c>
      <c r="J431" s="416">
        <f>IF(J$425&gt;$A431,$A431-$A430,J$425-SUM(J$428:J430))</f>
        <v>0</v>
      </c>
      <c r="K431" s="416">
        <f>IF(K$425&gt;$A431,$A431-$A430,K$425-SUM(K$428:K430))</f>
        <v>0</v>
      </c>
      <c r="L431" s="416">
        <f>IF(L$425&gt;$A431,$A431-$A430,L$425-SUM(L$428:L430))</f>
        <v>0</v>
      </c>
      <c r="M431" s="283"/>
      <c r="N431" s="405">
        <f t="shared" si="163"/>
        <v>0.45000000000000023</v>
      </c>
      <c r="O431" s="95">
        <f t="shared" si="163"/>
        <v>0</v>
      </c>
      <c r="P431" s="95">
        <f t="shared" si="163"/>
        <v>0</v>
      </c>
      <c r="Q431" s="95">
        <f t="shared" si="163"/>
        <v>0</v>
      </c>
      <c r="R431" s="95">
        <f t="shared" si="163"/>
        <v>0</v>
      </c>
      <c r="S431" s="95">
        <f t="shared" si="163"/>
        <v>0</v>
      </c>
      <c r="T431" s="95">
        <f t="shared" si="163"/>
        <v>0</v>
      </c>
      <c r="U431" s="95">
        <f t="shared" si="163"/>
        <v>0</v>
      </c>
      <c r="V431" s="95">
        <f t="shared" si="163"/>
        <v>0</v>
      </c>
      <c r="W431" s="95">
        <f t="shared" si="163"/>
        <v>0</v>
      </c>
      <c r="X431" s="283"/>
    </row>
    <row r="432" spans="1:24" s="8" customFormat="1" outlineLevel="2">
      <c r="A432" s="416">
        <f>D$55</f>
        <v>10</v>
      </c>
      <c r="B432" s="416">
        <f>B$55</f>
        <v>0.42</v>
      </c>
      <c r="C432" s="411">
        <f>IF(C$425&gt;$A432,$A432-$A431,C$425-SUM(C$428:C431))</f>
        <v>0</v>
      </c>
      <c r="D432" s="416">
        <f>IF(D$425&gt;$A432,$A432-$A431,D$425-SUM(D$428:D431))</f>
        <v>0</v>
      </c>
      <c r="E432" s="416">
        <f>IF(E$425&gt;$A432,$A432-$A431,E$425-SUM(E$428:E431))</f>
        <v>0</v>
      </c>
      <c r="F432" s="416">
        <f>IF(F$425&gt;$A432,$A432-$A431,F$425-SUM(F$428:F431))</f>
        <v>0</v>
      </c>
      <c r="G432" s="416">
        <f>IF(G$425&gt;$A432,$A432-$A431,G$425-SUM(G$428:G431))</f>
        <v>0</v>
      </c>
      <c r="H432" s="416">
        <f>IF(H$425&gt;$A432,$A432-$A431,H$425-SUM(H$428:H431))</f>
        <v>0</v>
      </c>
      <c r="I432" s="416">
        <f>IF(I$425&gt;$A432,$A432-$A431,I$425-SUM(I$428:I431))</f>
        <v>0</v>
      </c>
      <c r="J432" s="416">
        <f>IF(J$425&gt;$A432,$A432-$A431,J$425-SUM(J$428:J431))</f>
        <v>0</v>
      </c>
      <c r="K432" s="416">
        <f>IF(K$425&gt;$A432,$A432-$A431,K$425-SUM(K$428:K431))</f>
        <v>0</v>
      </c>
      <c r="L432" s="416">
        <f>IF(L$425&gt;$A432,$A432-$A431,L$425-SUM(L$428:L431))</f>
        <v>0</v>
      </c>
      <c r="M432" s="283"/>
      <c r="N432" s="405">
        <f t="shared" si="163"/>
        <v>0</v>
      </c>
      <c r="O432" s="95">
        <f t="shared" si="163"/>
        <v>0</v>
      </c>
      <c r="P432" s="95">
        <f t="shared" si="163"/>
        <v>0</v>
      </c>
      <c r="Q432" s="95">
        <f t="shared" si="163"/>
        <v>0</v>
      </c>
      <c r="R432" s="95">
        <f t="shared" si="163"/>
        <v>0</v>
      </c>
      <c r="S432" s="95">
        <f t="shared" si="163"/>
        <v>0</v>
      </c>
      <c r="T432" s="95">
        <f t="shared" si="163"/>
        <v>0</v>
      </c>
      <c r="U432" s="95">
        <f t="shared" si="163"/>
        <v>0</v>
      </c>
      <c r="V432" s="95">
        <f t="shared" si="163"/>
        <v>0</v>
      </c>
      <c r="W432" s="95">
        <f t="shared" si="163"/>
        <v>0</v>
      </c>
      <c r="X432" s="283"/>
    </row>
    <row r="433" spans="1:24" s="8" customFormat="1" outlineLevel="2">
      <c r="A433" s="416">
        <f>D$56</f>
        <v>20</v>
      </c>
      <c r="B433" s="416">
        <f>B$56</f>
        <v>0.22</v>
      </c>
      <c r="C433" s="411">
        <f>IF(C$425&gt;$A433,$A433-$A432,C$425-SUM(C$428:C432))</f>
        <v>0</v>
      </c>
      <c r="D433" s="416">
        <f>IF(D$425&gt;$A433,$A433-$A432,D$425-SUM(D$428:D432))</f>
        <v>0</v>
      </c>
      <c r="E433" s="416">
        <f>IF(E$425&gt;$A433,$A433-$A432,E$425-SUM(E$428:E432))</f>
        <v>0</v>
      </c>
      <c r="F433" s="416">
        <f>IF(F$425&gt;$A433,$A433-$A432,F$425-SUM(F$428:F432))</f>
        <v>0</v>
      </c>
      <c r="G433" s="416">
        <f>IF(G$425&gt;$A433,$A433-$A432,G$425-SUM(G$428:G432))</f>
        <v>0</v>
      </c>
      <c r="H433" s="416">
        <f>IF(H$425&gt;$A433,$A433-$A432,H$425-SUM(H$428:H432))</f>
        <v>0</v>
      </c>
      <c r="I433" s="416">
        <f>IF(I$425&gt;$A433,$A433-$A432,I$425-SUM(I$428:I432))</f>
        <v>0</v>
      </c>
      <c r="J433" s="416">
        <f>IF(J$425&gt;$A433,$A433-$A432,J$425-SUM(J$428:J432))</f>
        <v>0</v>
      </c>
      <c r="K433" s="416">
        <f>IF(K$425&gt;$A433,$A433-$A432,K$425-SUM(K$428:K432))</f>
        <v>0</v>
      </c>
      <c r="L433" s="416">
        <f>IF(L$425&gt;$A433,$A433-$A432,L$425-SUM(L$428:L432))</f>
        <v>0</v>
      </c>
      <c r="M433" s="283"/>
      <c r="N433" s="405">
        <f t="shared" si="163"/>
        <v>0</v>
      </c>
      <c r="O433" s="95">
        <f t="shared" si="163"/>
        <v>0</v>
      </c>
      <c r="P433" s="95">
        <f t="shared" si="163"/>
        <v>0</v>
      </c>
      <c r="Q433" s="95">
        <f t="shared" si="163"/>
        <v>0</v>
      </c>
      <c r="R433" s="95">
        <f t="shared" si="163"/>
        <v>0</v>
      </c>
      <c r="S433" s="95">
        <f t="shared" si="163"/>
        <v>0</v>
      </c>
      <c r="T433" s="95">
        <f t="shared" si="163"/>
        <v>0</v>
      </c>
      <c r="U433" s="95">
        <f t="shared" si="163"/>
        <v>0</v>
      </c>
      <c r="V433" s="95">
        <f t="shared" si="163"/>
        <v>0</v>
      </c>
      <c r="W433" s="95">
        <f t="shared" si="163"/>
        <v>0</v>
      </c>
      <c r="X433" s="283"/>
    </row>
    <row r="434" spans="1:24" s="8" customFormat="1" outlineLevel="2">
      <c r="A434" s="416">
        <f>D$57</f>
        <v>50</v>
      </c>
      <c r="B434" s="416">
        <f>B$57</f>
        <v>0.2</v>
      </c>
      <c r="C434" s="411">
        <f>IF(C$425&gt;$A434,$A434-$A433,C$425-SUM(C$428:C433))</f>
        <v>0</v>
      </c>
      <c r="D434" s="416">
        <f>IF(D$425&gt;$A434,$A434-$A433,D$425-SUM(D$428:D433))</f>
        <v>0</v>
      </c>
      <c r="E434" s="416">
        <f>IF(E$425&gt;$A434,$A434-$A433,E$425-SUM(E$428:E433))</f>
        <v>0</v>
      </c>
      <c r="F434" s="416">
        <f>IF(F$425&gt;$A434,$A434-$A433,F$425-SUM(F$428:F433))</f>
        <v>0</v>
      </c>
      <c r="G434" s="416">
        <f>IF(G$425&gt;$A434,$A434-$A433,G$425-SUM(G$428:G433))</f>
        <v>0</v>
      </c>
      <c r="H434" s="416">
        <f>IF(H$425&gt;$A434,$A434-$A433,H$425-SUM(H$428:H433))</f>
        <v>0</v>
      </c>
      <c r="I434" s="416">
        <f>IF(I$425&gt;$A434,$A434-$A433,I$425-SUM(I$428:I433))</f>
        <v>0</v>
      </c>
      <c r="J434" s="416">
        <f>IF(J$425&gt;$A434,$A434-$A433,J$425-SUM(J$428:J433))</f>
        <v>0</v>
      </c>
      <c r="K434" s="416">
        <f>IF(K$425&gt;$A434,$A434-$A433,K$425-SUM(K$428:K433))</f>
        <v>0</v>
      </c>
      <c r="L434" s="416">
        <f>IF(L$425&gt;$A434,$A434-$A433,L$425-SUM(L$428:L433))</f>
        <v>0</v>
      </c>
      <c r="M434" s="283"/>
      <c r="N434" s="405">
        <f t="shared" si="163"/>
        <v>0</v>
      </c>
      <c r="O434" s="95">
        <f t="shared" si="163"/>
        <v>0</v>
      </c>
      <c r="P434" s="95">
        <f t="shared" si="163"/>
        <v>0</v>
      </c>
      <c r="Q434" s="95">
        <f t="shared" si="163"/>
        <v>0</v>
      </c>
      <c r="R434" s="95">
        <f t="shared" si="163"/>
        <v>0</v>
      </c>
      <c r="S434" s="95">
        <f t="shared" si="163"/>
        <v>0</v>
      </c>
      <c r="T434" s="95">
        <f t="shared" si="163"/>
        <v>0</v>
      </c>
      <c r="U434" s="95">
        <f t="shared" si="163"/>
        <v>0</v>
      </c>
      <c r="V434" s="95">
        <f t="shared" si="163"/>
        <v>0</v>
      </c>
      <c r="W434" s="95">
        <f t="shared" si="163"/>
        <v>0</v>
      </c>
      <c r="X434" s="283"/>
    </row>
    <row r="435" spans="1:24" s="8" customFormat="1" outlineLevel="2">
      <c r="A435" s="416">
        <f>D$58</f>
        <v>75</v>
      </c>
      <c r="B435" s="416">
        <f>B$58</f>
        <v>0.15</v>
      </c>
      <c r="C435" s="411">
        <f>IF(C$425&gt;$A435,$A435-$A434,C$425-SUM(C$428:C434))</f>
        <v>0</v>
      </c>
      <c r="D435" s="416">
        <f>IF(D$425&gt;$A435,$A435-$A434,D$425-SUM(D$428:D434))</f>
        <v>0</v>
      </c>
      <c r="E435" s="416">
        <f>IF(E$425&gt;$A435,$A435-$A434,E$425-SUM(E$428:E434))</f>
        <v>0</v>
      </c>
      <c r="F435" s="416">
        <f>IF(F$425&gt;$A435,$A435-$A434,F$425-SUM(F$428:F434))</f>
        <v>0</v>
      </c>
      <c r="G435" s="416">
        <f>IF(G$425&gt;$A435,$A435-$A434,G$425-SUM(G$428:G434))</f>
        <v>0</v>
      </c>
      <c r="H435" s="416">
        <f>IF(H$425&gt;$A435,$A435-$A434,H$425-SUM(H$428:H434))</f>
        <v>0</v>
      </c>
      <c r="I435" s="416">
        <f>IF(I$425&gt;$A435,$A435-$A434,I$425-SUM(I$428:I434))</f>
        <v>0</v>
      </c>
      <c r="J435" s="416">
        <f>IF(J$425&gt;$A435,$A435-$A434,J$425-SUM(J$428:J434))</f>
        <v>0</v>
      </c>
      <c r="K435" s="416">
        <f>IF(K$425&gt;$A435,$A435-$A434,K$425-SUM(K$428:K434))</f>
        <v>0</v>
      </c>
      <c r="L435" s="416">
        <f>IF(L$425&gt;$A435,$A435-$A434,L$425-SUM(L$428:L434))</f>
        <v>0</v>
      </c>
      <c r="M435" s="283"/>
      <c r="N435" s="405">
        <f t="shared" si="163"/>
        <v>0</v>
      </c>
      <c r="O435" s="95">
        <f t="shared" si="163"/>
        <v>0</v>
      </c>
      <c r="P435" s="95">
        <f t="shared" si="163"/>
        <v>0</v>
      </c>
      <c r="Q435" s="95">
        <f t="shared" si="163"/>
        <v>0</v>
      </c>
      <c r="R435" s="95">
        <f t="shared" si="163"/>
        <v>0</v>
      </c>
      <c r="S435" s="95">
        <f t="shared" si="163"/>
        <v>0</v>
      </c>
      <c r="T435" s="95">
        <f t="shared" si="163"/>
        <v>0</v>
      </c>
      <c r="U435" s="95">
        <f t="shared" si="163"/>
        <v>0</v>
      </c>
      <c r="V435" s="95">
        <f t="shared" si="163"/>
        <v>0</v>
      </c>
      <c r="W435" s="95">
        <f t="shared" si="163"/>
        <v>0</v>
      </c>
      <c r="X435" s="283"/>
    </row>
    <row r="436" spans="1:24" s="8" customFormat="1" outlineLevel="2">
      <c r="A436" s="416">
        <f>D$59</f>
        <v>9999</v>
      </c>
      <c r="B436" s="416">
        <f>B$59</f>
        <v>0.1</v>
      </c>
      <c r="C436" s="411">
        <f>IF(C$425&gt;$A436,$A436-$A435,C$425-SUM(C$428:C435))</f>
        <v>0</v>
      </c>
      <c r="D436" s="416">
        <f>IF(D$425&gt;$A436,$A436-$A435,D$425-SUM(D$428:D435))</f>
        <v>0</v>
      </c>
      <c r="E436" s="416">
        <f>IF(E$425&gt;$A436,$A436-$A435,E$425-SUM(E$428:E435))</f>
        <v>0</v>
      </c>
      <c r="F436" s="416">
        <f>IF(F$425&gt;$A436,$A436-$A435,F$425-SUM(F$428:F435))</f>
        <v>0</v>
      </c>
      <c r="G436" s="416">
        <f>IF(G$425&gt;$A436,$A436-$A435,G$425-SUM(G$428:G435))</f>
        <v>0</v>
      </c>
      <c r="H436" s="416">
        <f>IF(H$425&gt;$A436,$A436-$A435,H$425-SUM(H$428:H435))</f>
        <v>0</v>
      </c>
      <c r="I436" s="416">
        <f>IF(I$425&gt;$A436,$A436-$A435,I$425-SUM(I$428:I435))</f>
        <v>0</v>
      </c>
      <c r="J436" s="416">
        <f>IF(J$425&gt;$A436,$A436-$A435,J$425-SUM(J$428:J435))</f>
        <v>0</v>
      </c>
      <c r="K436" s="416">
        <f>IF(K$425&gt;$A436,$A436-$A435,K$425-SUM(K$428:K435))</f>
        <v>0</v>
      </c>
      <c r="L436" s="416">
        <f>IF(L$425&gt;$A436,$A436-$A435,L$425-SUM(L$428:L435))</f>
        <v>0</v>
      </c>
      <c r="M436" s="283"/>
      <c r="N436" s="405">
        <f t="shared" si="163"/>
        <v>0</v>
      </c>
      <c r="O436" s="95">
        <f t="shared" si="163"/>
        <v>0</v>
      </c>
      <c r="P436" s="95">
        <f t="shared" si="163"/>
        <v>0</v>
      </c>
      <c r="Q436" s="95">
        <f t="shared" si="163"/>
        <v>0</v>
      </c>
      <c r="R436" s="95">
        <f t="shared" si="163"/>
        <v>0</v>
      </c>
      <c r="S436" s="95">
        <f t="shared" si="163"/>
        <v>0</v>
      </c>
      <c r="T436" s="95">
        <f t="shared" si="163"/>
        <v>0</v>
      </c>
      <c r="U436" s="95">
        <f t="shared" si="163"/>
        <v>0</v>
      </c>
      <c r="V436" s="95">
        <f t="shared" si="163"/>
        <v>0</v>
      </c>
      <c r="W436" s="95">
        <f t="shared" si="163"/>
        <v>0</v>
      </c>
      <c r="X436" s="283"/>
    </row>
    <row r="437" spans="1:24" s="8" customFormat="1" outlineLevel="1">
      <c r="A437" s="404"/>
      <c r="B437" s="417" t="str">
        <f>CONCATENATE(B424," Total")</f>
        <v>Mitsubishi Total</v>
      </c>
      <c r="C437" s="418">
        <f>SUM(C428:C436)</f>
        <v>3.0000000000000004</v>
      </c>
      <c r="D437" s="419">
        <f t="shared" ref="D437:L437" si="164">SUM(D428:D436)</f>
        <v>0.2</v>
      </c>
      <c r="E437" s="419">
        <f t="shared" si="164"/>
        <v>0</v>
      </c>
      <c r="F437" s="419">
        <f t="shared" si="164"/>
        <v>0</v>
      </c>
      <c r="G437" s="419">
        <f t="shared" si="164"/>
        <v>0</v>
      </c>
      <c r="H437" s="419">
        <f t="shared" si="164"/>
        <v>0</v>
      </c>
      <c r="I437" s="419">
        <f t="shared" si="164"/>
        <v>0</v>
      </c>
      <c r="J437" s="419">
        <f t="shared" si="164"/>
        <v>0</v>
      </c>
      <c r="K437" s="419">
        <f t="shared" si="164"/>
        <v>0</v>
      </c>
      <c r="L437" s="419">
        <f t="shared" si="164"/>
        <v>0</v>
      </c>
      <c r="M437" s="283"/>
      <c r="N437" s="420">
        <f>SUM(N428:N436)</f>
        <v>2.0100000000000002</v>
      </c>
      <c r="O437" s="420">
        <f t="shared" ref="O437:W437" si="165">SUM(O428:O436)</f>
        <v>0.19600000000000001</v>
      </c>
      <c r="P437" s="420">
        <f t="shared" si="165"/>
        <v>0</v>
      </c>
      <c r="Q437" s="420">
        <f t="shared" si="165"/>
        <v>0</v>
      </c>
      <c r="R437" s="420">
        <f t="shared" si="165"/>
        <v>0</v>
      </c>
      <c r="S437" s="420">
        <f t="shared" si="165"/>
        <v>0</v>
      </c>
      <c r="T437" s="420">
        <f t="shared" si="165"/>
        <v>0</v>
      </c>
      <c r="U437" s="420">
        <f t="shared" si="165"/>
        <v>0</v>
      </c>
      <c r="V437" s="420">
        <f t="shared" si="165"/>
        <v>0</v>
      </c>
      <c r="W437" s="420">
        <f t="shared" si="165"/>
        <v>0</v>
      </c>
      <c r="X437" s="283"/>
    </row>
    <row r="438" spans="1:24" s="8" customFormat="1" outlineLevel="1">
      <c r="B438" s="421" t="s">
        <v>778</v>
      </c>
      <c r="C438" s="422">
        <f t="shared" ref="C438:L438" si="166">C437-C425</f>
        <v>0</v>
      </c>
      <c r="D438" s="423">
        <f t="shared" si="166"/>
        <v>0</v>
      </c>
      <c r="E438" s="423">
        <f t="shared" si="166"/>
        <v>0</v>
      </c>
      <c r="F438" s="423">
        <f t="shared" si="166"/>
        <v>0</v>
      </c>
      <c r="G438" s="423">
        <f t="shared" si="166"/>
        <v>0</v>
      </c>
      <c r="H438" s="423">
        <f t="shared" si="166"/>
        <v>0</v>
      </c>
      <c r="I438" s="423">
        <f t="shared" si="166"/>
        <v>0</v>
      </c>
      <c r="J438" s="423">
        <f t="shared" si="166"/>
        <v>0</v>
      </c>
      <c r="K438" s="423">
        <f t="shared" si="166"/>
        <v>0</v>
      </c>
      <c r="L438" s="423">
        <f t="shared" si="166"/>
        <v>0</v>
      </c>
      <c r="M438" s="283"/>
      <c r="N438" s="283"/>
      <c r="O438" s="283"/>
      <c r="P438" s="283"/>
      <c r="Q438" s="283"/>
      <c r="R438" s="283"/>
      <c r="S438" s="283"/>
      <c r="T438" s="283"/>
      <c r="U438" s="283"/>
      <c r="V438" s="283"/>
      <c r="W438" s="283"/>
      <c r="X438" s="283"/>
    </row>
    <row r="439" spans="1:24" s="8" customFormat="1" outlineLevel="1">
      <c r="M439" s="283"/>
      <c r="X439" s="283"/>
    </row>
    <row r="440" spans="1:24" s="8" customFormat="1" outlineLevel="1" collapsed="1">
      <c r="A440" s="8">
        <f>A424+1</f>
        <v>17</v>
      </c>
      <c r="B440" s="424" t="str">
        <f>A156</f>
        <v>Motorola</v>
      </c>
      <c r="C440" s="80">
        <v>2007</v>
      </c>
      <c r="D440" s="66">
        <f>C440+1</f>
        <v>2008</v>
      </c>
      <c r="E440" s="66">
        <f t="shared" ref="E440:L440" si="167">D440+1</f>
        <v>2009</v>
      </c>
      <c r="F440" s="66">
        <f t="shared" si="167"/>
        <v>2010</v>
      </c>
      <c r="G440" s="66">
        <f t="shared" si="167"/>
        <v>2011</v>
      </c>
      <c r="H440" s="66">
        <f t="shared" si="167"/>
        <v>2012</v>
      </c>
      <c r="I440" s="66">
        <f t="shared" si="167"/>
        <v>2013</v>
      </c>
      <c r="J440" s="66">
        <f t="shared" si="167"/>
        <v>2014</v>
      </c>
      <c r="K440" s="66">
        <f t="shared" si="167"/>
        <v>2015</v>
      </c>
      <c r="L440" s="66">
        <f t="shared" si="167"/>
        <v>2016</v>
      </c>
      <c r="M440" s="283"/>
      <c r="N440" s="168">
        <f t="shared" ref="N440:W440" si="168">C440</f>
        <v>2007</v>
      </c>
      <c r="O440" s="66">
        <f t="shared" si="168"/>
        <v>2008</v>
      </c>
      <c r="P440" s="66">
        <f t="shared" si="168"/>
        <v>2009</v>
      </c>
      <c r="Q440" s="66">
        <f t="shared" si="168"/>
        <v>2010</v>
      </c>
      <c r="R440" s="66">
        <f t="shared" si="168"/>
        <v>2011</v>
      </c>
      <c r="S440" s="66">
        <f t="shared" si="168"/>
        <v>2012</v>
      </c>
      <c r="T440" s="66">
        <f t="shared" si="168"/>
        <v>2013</v>
      </c>
      <c r="U440" s="66">
        <f t="shared" si="168"/>
        <v>2014</v>
      </c>
      <c r="V440" s="66">
        <f t="shared" si="168"/>
        <v>2015</v>
      </c>
      <c r="W440" s="66">
        <f t="shared" si="168"/>
        <v>2016</v>
      </c>
      <c r="X440" s="283"/>
    </row>
    <row r="441" spans="1:24" s="8" customFormat="1" outlineLevel="2">
      <c r="B441" s="8" t="s">
        <v>1348</v>
      </c>
      <c r="C441" s="411">
        <f t="shared" ref="C441:L441" si="169">VLOOKUP($B440,$A$140:$K$175,C$183+1,FALSE)</f>
        <v>159</v>
      </c>
      <c r="D441" s="412">
        <f t="shared" si="169"/>
        <v>100.09999999999998</v>
      </c>
      <c r="E441" s="412">
        <f t="shared" si="169"/>
        <v>55.199999999999996</v>
      </c>
      <c r="F441" s="412">
        <f t="shared" si="169"/>
        <v>37.200000000000003</v>
      </c>
      <c r="G441" s="412">
        <f t="shared" si="169"/>
        <v>41.45</v>
      </c>
      <c r="H441" s="412">
        <f t="shared" si="169"/>
        <v>29.400000000000002</v>
      </c>
      <c r="I441" s="412">
        <f t="shared" si="169"/>
        <v>15.9</v>
      </c>
      <c r="J441" s="412">
        <f t="shared" si="169"/>
        <v>30.300000000000004</v>
      </c>
      <c r="K441" s="412">
        <f t="shared" si="169"/>
        <v>0</v>
      </c>
      <c r="L441" s="412">
        <f t="shared" si="169"/>
        <v>0</v>
      </c>
      <c r="M441" s="283"/>
      <c r="N441" s="283"/>
      <c r="X441" s="283"/>
    </row>
    <row r="442" spans="1:24" s="8" customFormat="1" outlineLevel="2">
      <c r="C442" s="413"/>
      <c r="D442" s="414"/>
      <c r="E442" s="414"/>
      <c r="F442" s="414"/>
      <c r="G442" s="414"/>
      <c r="H442" s="414"/>
      <c r="I442" s="414"/>
      <c r="J442" s="414"/>
      <c r="K442" s="414"/>
      <c r="L442" s="414"/>
      <c r="M442" s="283"/>
      <c r="N442" s="283"/>
      <c r="X442" s="283"/>
    </row>
    <row r="443" spans="1:24" s="8" customFormat="1" outlineLevel="2">
      <c r="A443" s="66" t="s">
        <v>1349</v>
      </c>
      <c r="B443" s="66" t="s">
        <v>1350</v>
      </c>
      <c r="C443" s="415"/>
      <c r="F443" s="9"/>
      <c r="M443" s="283"/>
      <c r="N443" s="283"/>
      <c r="X443" s="283"/>
    </row>
    <row r="444" spans="1:24" s="8" customFormat="1" outlineLevel="2">
      <c r="A444" s="416">
        <f>D$51</f>
        <v>0.5</v>
      </c>
      <c r="B444" s="416">
        <f>B$51</f>
        <v>0.98</v>
      </c>
      <c r="C444" s="411">
        <f>IF(C$441&gt;$A444,$A444,C$441)</f>
        <v>0.5</v>
      </c>
      <c r="D444" s="416">
        <f t="shared" ref="D444:L444" si="170">IF(D$441&gt;$A444,$A444,D$441)</f>
        <v>0.5</v>
      </c>
      <c r="E444" s="416">
        <f t="shared" si="170"/>
        <v>0.5</v>
      </c>
      <c r="F444" s="416">
        <f t="shared" si="170"/>
        <v>0.5</v>
      </c>
      <c r="G444" s="416">
        <f t="shared" si="170"/>
        <v>0.5</v>
      </c>
      <c r="H444" s="416">
        <f t="shared" si="170"/>
        <v>0.5</v>
      </c>
      <c r="I444" s="416">
        <f t="shared" si="170"/>
        <v>0.5</v>
      </c>
      <c r="J444" s="416">
        <f t="shared" si="170"/>
        <v>0.5</v>
      </c>
      <c r="K444" s="416">
        <f t="shared" si="170"/>
        <v>0</v>
      </c>
      <c r="L444" s="416">
        <f t="shared" si="170"/>
        <v>0</v>
      </c>
      <c r="M444" s="283"/>
      <c r="N444" s="405">
        <f t="shared" ref="N444:W452" si="171">C444*$B444</f>
        <v>0.49</v>
      </c>
      <c r="O444" s="95">
        <f t="shared" si="171"/>
        <v>0.49</v>
      </c>
      <c r="P444" s="95">
        <f t="shared" si="171"/>
        <v>0.49</v>
      </c>
      <c r="Q444" s="95">
        <f t="shared" si="171"/>
        <v>0.49</v>
      </c>
      <c r="R444" s="95">
        <f t="shared" si="171"/>
        <v>0.49</v>
      </c>
      <c r="S444" s="95">
        <f t="shared" si="171"/>
        <v>0.49</v>
      </c>
      <c r="T444" s="95">
        <f t="shared" si="171"/>
        <v>0.49</v>
      </c>
      <c r="U444" s="95">
        <f t="shared" si="171"/>
        <v>0.49</v>
      </c>
      <c r="V444" s="95">
        <f t="shared" si="171"/>
        <v>0</v>
      </c>
      <c r="W444" s="95">
        <f t="shared" si="171"/>
        <v>0</v>
      </c>
      <c r="X444" s="283"/>
    </row>
    <row r="445" spans="1:24" s="8" customFormat="1" outlineLevel="2">
      <c r="A445" s="416">
        <f>D$52</f>
        <v>1</v>
      </c>
      <c r="B445" s="416">
        <f>B$52</f>
        <v>0.78</v>
      </c>
      <c r="C445" s="411">
        <f>IF(C$441&gt;$A445,$A445-$A444,C$441-SUM(C444:C$444))</f>
        <v>0.5</v>
      </c>
      <c r="D445" s="416">
        <f>IF(D$441&gt;$A445,$A445-$A444,D$441-SUM(D444:D$444))</f>
        <v>0.5</v>
      </c>
      <c r="E445" s="416">
        <f>IF(E$441&gt;$A445,$A445-$A444,E$441-SUM(E444:E$444))</f>
        <v>0.5</v>
      </c>
      <c r="F445" s="416">
        <f>IF(F$441&gt;$A445,$A445-$A444,F$441-SUM(F444:F$444))</f>
        <v>0.5</v>
      </c>
      <c r="G445" s="416">
        <f>IF(G$441&gt;$A445,$A445-$A444,G$441-SUM(G444:G$444))</f>
        <v>0.5</v>
      </c>
      <c r="H445" s="416">
        <f>IF(H$441&gt;$A445,$A445-$A444,H$441-SUM(H444:H$444))</f>
        <v>0.5</v>
      </c>
      <c r="I445" s="416">
        <f>IF(I$441&gt;$A445,$A445-$A444,I$441-SUM(I444:I$444))</f>
        <v>0.5</v>
      </c>
      <c r="J445" s="416">
        <f>IF(J$441&gt;$A445,$A445-$A444,J$441-SUM(J444:J$444))</f>
        <v>0.5</v>
      </c>
      <c r="K445" s="416">
        <f>IF(K$441&gt;$A445,$A445-$A444,K$441-SUM(K444:K$444))</f>
        <v>0</v>
      </c>
      <c r="L445" s="416">
        <f>IF(L$441&gt;$A445,$A445-$A444,L$441-SUM(L444:L$444))</f>
        <v>0</v>
      </c>
      <c r="M445" s="283"/>
      <c r="N445" s="405">
        <f t="shared" si="171"/>
        <v>0.39</v>
      </c>
      <c r="O445" s="95">
        <f t="shared" si="171"/>
        <v>0.39</v>
      </c>
      <c r="P445" s="95">
        <f t="shared" si="171"/>
        <v>0.39</v>
      </c>
      <c r="Q445" s="95">
        <f t="shared" si="171"/>
        <v>0.39</v>
      </c>
      <c r="R445" s="95">
        <f t="shared" si="171"/>
        <v>0.39</v>
      </c>
      <c r="S445" s="95">
        <f t="shared" si="171"/>
        <v>0.39</v>
      </c>
      <c r="T445" s="95">
        <f t="shared" si="171"/>
        <v>0.39</v>
      </c>
      <c r="U445" s="95">
        <f t="shared" si="171"/>
        <v>0.39</v>
      </c>
      <c r="V445" s="95">
        <f t="shared" si="171"/>
        <v>0</v>
      </c>
      <c r="W445" s="95">
        <f t="shared" si="171"/>
        <v>0</v>
      </c>
      <c r="X445" s="283"/>
    </row>
    <row r="446" spans="1:24" s="8" customFormat="1" outlineLevel="2">
      <c r="A446" s="416">
        <f>D$53</f>
        <v>2</v>
      </c>
      <c r="B446" s="416">
        <f>B$53</f>
        <v>0.68</v>
      </c>
      <c r="C446" s="411">
        <f>IF(C$441&gt;$A446,$A446-$A445,C$441-SUM(C$444:C445))</f>
        <v>1</v>
      </c>
      <c r="D446" s="416">
        <f>IF(D$441&gt;$A446,$A446-$A445,D$441-SUM(D$444:D445))</f>
        <v>1</v>
      </c>
      <c r="E446" s="416">
        <f>IF(E$441&gt;$A446,$A446-$A445,E$441-SUM(E$444:E445))</f>
        <v>1</v>
      </c>
      <c r="F446" s="416">
        <f>IF(F$441&gt;$A446,$A446-$A445,F$441-SUM(F$444:F445))</f>
        <v>1</v>
      </c>
      <c r="G446" s="416">
        <f>IF(G$441&gt;$A446,$A446-$A445,G$441-SUM(G$444:G445))</f>
        <v>1</v>
      </c>
      <c r="H446" s="416">
        <f>IF(H$441&gt;$A446,$A446-$A445,H$441-SUM(H$444:H445))</f>
        <v>1</v>
      </c>
      <c r="I446" s="416">
        <f>IF(I$441&gt;$A446,$A446-$A445,I$441-SUM(I$444:I445))</f>
        <v>1</v>
      </c>
      <c r="J446" s="416">
        <f>IF(J$441&gt;$A446,$A446-$A445,J$441-SUM(J$444:J445))</f>
        <v>1</v>
      </c>
      <c r="K446" s="416">
        <f>IF(K$441&gt;$A446,$A446-$A445,K$441-SUM(K$444:K445))</f>
        <v>0</v>
      </c>
      <c r="L446" s="416">
        <f>IF(L$441&gt;$A446,$A446-$A445,L$441-SUM(L$444:L445))</f>
        <v>0</v>
      </c>
      <c r="M446" s="283"/>
      <c r="N446" s="405">
        <f t="shared" si="171"/>
        <v>0.68</v>
      </c>
      <c r="O446" s="95">
        <f t="shared" si="171"/>
        <v>0.68</v>
      </c>
      <c r="P446" s="95">
        <f t="shared" si="171"/>
        <v>0.68</v>
      </c>
      <c r="Q446" s="95">
        <f t="shared" si="171"/>
        <v>0.68</v>
      </c>
      <c r="R446" s="95">
        <f t="shared" si="171"/>
        <v>0.68</v>
      </c>
      <c r="S446" s="95">
        <f t="shared" si="171"/>
        <v>0.68</v>
      </c>
      <c r="T446" s="95">
        <f t="shared" si="171"/>
        <v>0.68</v>
      </c>
      <c r="U446" s="95">
        <f t="shared" si="171"/>
        <v>0.68</v>
      </c>
      <c r="V446" s="95">
        <f t="shared" si="171"/>
        <v>0</v>
      </c>
      <c r="W446" s="95">
        <f t="shared" si="171"/>
        <v>0</v>
      </c>
      <c r="X446" s="283"/>
    </row>
    <row r="447" spans="1:24" s="8" customFormat="1" outlineLevel="2">
      <c r="A447" s="416">
        <f>D$54</f>
        <v>5</v>
      </c>
      <c r="B447" s="416">
        <f>B$54</f>
        <v>0.45</v>
      </c>
      <c r="C447" s="411">
        <f>IF(C$441&gt;$A447,$A447-$A446,C$441-SUM(C$444:C446))</f>
        <v>3</v>
      </c>
      <c r="D447" s="416">
        <f>IF(D$441&gt;$A447,$A447-$A446,D$441-SUM(D$444:D446))</f>
        <v>3</v>
      </c>
      <c r="E447" s="416">
        <f>IF(E$441&gt;$A447,$A447-$A446,E$441-SUM(E$444:E446))</f>
        <v>3</v>
      </c>
      <c r="F447" s="416">
        <f>IF(F$441&gt;$A447,$A447-$A446,F$441-SUM(F$444:F446))</f>
        <v>3</v>
      </c>
      <c r="G447" s="416">
        <f>IF(G$441&gt;$A447,$A447-$A446,G$441-SUM(G$444:G446))</f>
        <v>3</v>
      </c>
      <c r="H447" s="416">
        <f>IF(H$441&gt;$A447,$A447-$A446,H$441-SUM(H$444:H446))</f>
        <v>3</v>
      </c>
      <c r="I447" s="416">
        <f>IF(I$441&gt;$A447,$A447-$A446,I$441-SUM(I$444:I446))</f>
        <v>3</v>
      </c>
      <c r="J447" s="416">
        <f>IF(J$441&gt;$A447,$A447-$A446,J$441-SUM(J$444:J446))</f>
        <v>3</v>
      </c>
      <c r="K447" s="416">
        <f>IF(K$441&gt;$A447,$A447-$A446,K$441-SUM(K$444:K446))</f>
        <v>0</v>
      </c>
      <c r="L447" s="416">
        <f>IF(L$441&gt;$A447,$A447-$A446,L$441-SUM(L$444:L446))</f>
        <v>0</v>
      </c>
      <c r="M447" s="283"/>
      <c r="N447" s="405">
        <f t="shared" si="171"/>
        <v>1.35</v>
      </c>
      <c r="O447" s="95">
        <f t="shared" si="171"/>
        <v>1.35</v>
      </c>
      <c r="P447" s="95">
        <f t="shared" si="171"/>
        <v>1.35</v>
      </c>
      <c r="Q447" s="95">
        <f t="shared" si="171"/>
        <v>1.35</v>
      </c>
      <c r="R447" s="95">
        <f t="shared" si="171"/>
        <v>1.35</v>
      </c>
      <c r="S447" s="95">
        <f t="shared" si="171"/>
        <v>1.35</v>
      </c>
      <c r="T447" s="95">
        <f t="shared" si="171"/>
        <v>1.35</v>
      </c>
      <c r="U447" s="95">
        <f t="shared" si="171"/>
        <v>1.35</v>
      </c>
      <c r="V447" s="95">
        <f t="shared" si="171"/>
        <v>0</v>
      </c>
      <c r="W447" s="95">
        <f t="shared" si="171"/>
        <v>0</v>
      </c>
      <c r="X447" s="283"/>
    </row>
    <row r="448" spans="1:24" s="8" customFormat="1" outlineLevel="2">
      <c r="A448" s="416">
        <f>D$55</f>
        <v>10</v>
      </c>
      <c r="B448" s="416">
        <f>B$55</f>
        <v>0.42</v>
      </c>
      <c r="C448" s="411">
        <f>IF(C$441&gt;$A448,$A448-$A447,C$441-SUM(C$444:C447))</f>
        <v>5</v>
      </c>
      <c r="D448" s="416">
        <f>IF(D$441&gt;$A448,$A448-$A447,D$441-SUM(D$444:D447))</f>
        <v>5</v>
      </c>
      <c r="E448" s="416">
        <f>IF(E$441&gt;$A448,$A448-$A447,E$441-SUM(E$444:E447))</f>
        <v>5</v>
      </c>
      <c r="F448" s="416">
        <f>IF(F$441&gt;$A448,$A448-$A447,F$441-SUM(F$444:F447))</f>
        <v>5</v>
      </c>
      <c r="G448" s="416">
        <f>IF(G$441&gt;$A448,$A448-$A447,G$441-SUM(G$444:G447))</f>
        <v>5</v>
      </c>
      <c r="H448" s="416">
        <f>IF(H$441&gt;$A448,$A448-$A447,H$441-SUM(H$444:H447))</f>
        <v>5</v>
      </c>
      <c r="I448" s="416">
        <f>IF(I$441&gt;$A448,$A448-$A447,I$441-SUM(I$444:I447))</f>
        <v>5</v>
      </c>
      <c r="J448" s="416">
        <f>IF(J$441&gt;$A448,$A448-$A447,J$441-SUM(J$444:J447))</f>
        <v>5</v>
      </c>
      <c r="K448" s="416">
        <f>IF(K$441&gt;$A448,$A448-$A447,K$441-SUM(K$444:K447))</f>
        <v>0</v>
      </c>
      <c r="L448" s="416">
        <f>IF(L$441&gt;$A448,$A448-$A447,L$441-SUM(L$444:L447))</f>
        <v>0</v>
      </c>
      <c r="M448" s="283"/>
      <c r="N448" s="405">
        <f t="shared" si="171"/>
        <v>2.1</v>
      </c>
      <c r="O448" s="95">
        <f t="shared" si="171"/>
        <v>2.1</v>
      </c>
      <c r="P448" s="95">
        <f t="shared" si="171"/>
        <v>2.1</v>
      </c>
      <c r="Q448" s="95">
        <f t="shared" si="171"/>
        <v>2.1</v>
      </c>
      <c r="R448" s="95">
        <f t="shared" si="171"/>
        <v>2.1</v>
      </c>
      <c r="S448" s="95">
        <f t="shared" si="171"/>
        <v>2.1</v>
      </c>
      <c r="T448" s="95">
        <f t="shared" si="171"/>
        <v>2.1</v>
      </c>
      <c r="U448" s="95">
        <f t="shared" si="171"/>
        <v>2.1</v>
      </c>
      <c r="V448" s="95">
        <f t="shared" si="171"/>
        <v>0</v>
      </c>
      <c r="W448" s="95">
        <f t="shared" si="171"/>
        <v>0</v>
      </c>
      <c r="X448" s="283"/>
    </row>
    <row r="449" spans="1:24" s="8" customFormat="1" outlineLevel="2">
      <c r="A449" s="416">
        <f>D$56</f>
        <v>20</v>
      </c>
      <c r="B449" s="416">
        <f>B$56</f>
        <v>0.22</v>
      </c>
      <c r="C449" s="411">
        <f>IF(C$441&gt;$A449,$A449-$A448,C$441-SUM(C$444:C448))</f>
        <v>10</v>
      </c>
      <c r="D449" s="416">
        <f>IF(D$441&gt;$A449,$A449-$A448,D$441-SUM(D$444:D448))</f>
        <v>10</v>
      </c>
      <c r="E449" s="416">
        <f>IF(E$441&gt;$A449,$A449-$A448,E$441-SUM(E$444:E448))</f>
        <v>10</v>
      </c>
      <c r="F449" s="416">
        <f>IF(F$441&gt;$A449,$A449-$A448,F$441-SUM(F$444:F448))</f>
        <v>10</v>
      </c>
      <c r="G449" s="416">
        <f>IF(G$441&gt;$A449,$A449-$A448,G$441-SUM(G$444:G448))</f>
        <v>10</v>
      </c>
      <c r="H449" s="416">
        <f>IF(H$441&gt;$A449,$A449-$A448,H$441-SUM(H$444:H448))</f>
        <v>10</v>
      </c>
      <c r="I449" s="416">
        <f>IF(I$441&gt;$A449,$A449-$A448,I$441-SUM(I$444:I448))</f>
        <v>5.9</v>
      </c>
      <c r="J449" s="416">
        <f>IF(J$441&gt;$A449,$A449-$A448,J$441-SUM(J$444:J448))</f>
        <v>10</v>
      </c>
      <c r="K449" s="416">
        <f>IF(K$441&gt;$A449,$A449-$A448,K$441-SUM(K$444:K448))</f>
        <v>0</v>
      </c>
      <c r="L449" s="416">
        <f>IF(L$441&gt;$A449,$A449-$A448,L$441-SUM(L$444:L448))</f>
        <v>0</v>
      </c>
      <c r="M449" s="283"/>
      <c r="N449" s="405">
        <f t="shared" si="171"/>
        <v>2.2000000000000002</v>
      </c>
      <c r="O449" s="95">
        <f t="shared" si="171"/>
        <v>2.2000000000000002</v>
      </c>
      <c r="P449" s="95">
        <f t="shared" si="171"/>
        <v>2.2000000000000002</v>
      </c>
      <c r="Q449" s="95">
        <f t="shared" si="171"/>
        <v>2.2000000000000002</v>
      </c>
      <c r="R449" s="95">
        <f t="shared" si="171"/>
        <v>2.2000000000000002</v>
      </c>
      <c r="S449" s="95">
        <f t="shared" si="171"/>
        <v>2.2000000000000002</v>
      </c>
      <c r="T449" s="95">
        <f t="shared" si="171"/>
        <v>1.298</v>
      </c>
      <c r="U449" s="95">
        <f t="shared" si="171"/>
        <v>2.2000000000000002</v>
      </c>
      <c r="V449" s="95">
        <f t="shared" si="171"/>
        <v>0</v>
      </c>
      <c r="W449" s="95">
        <f t="shared" si="171"/>
        <v>0</v>
      </c>
      <c r="X449" s="283"/>
    </row>
    <row r="450" spans="1:24" s="8" customFormat="1" outlineLevel="2">
      <c r="A450" s="416">
        <f>D$57</f>
        <v>50</v>
      </c>
      <c r="B450" s="416">
        <f>B$57</f>
        <v>0.2</v>
      </c>
      <c r="C450" s="411">
        <f>IF(C$441&gt;$A450,$A450-$A449,C$441-SUM(C$444:C449))</f>
        <v>30</v>
      </c>
      <c r="D450" s="416">
        <f>IF(D$441&gt;$A450,$A450-$A449,D$441-SUM(D$444:D449))</f>
        <v>30</v>
      </c>
      <c r="E450" s="416">
        <f>IF(E$441&gt;$A450,$A450-$A449,E$441-SUM(E$444:E449))</f>
        <v>30</v>
      </c>
      <c r="F450" s="416">
        <f>IF(F$441&gt;$A450,$A450-$A449,F$441-SUM(F$444:F449))</f>
        <v>17.200000000000003</v>
      </c>
      <c r="G450" s="416">
        <f>IF(G$441&gt;$A450,$A450-$A449,G$441-SUM(G$444:G449))</f>
        <v>21.450000000000003</v>
      </c>
      <c r="H450" s="416">
        <f>IF(H$441&gt;$A450,$A450-$A449,H$441-SUM(H$444:H449))</f>
        <v>9.4000000000000021</v>
      </c>
      <c r="I450" s="416">
        <f>IF(I$441&gt;$A450,$A450-$A449,I$441-SUM(I$444:I449))</f>
        <v>0</v>
      </c>
      <c r="J450" s="416">
        <f>IF(J$441&gt;$A450,$A450-$A449,J$441-SUM(J$444:J449))</f>
        <v>10.300000000000004</v>
      </c>
      <c r="K450" s="416">
        <f>IF(K$441&gt;$A450,$A450-$A449,K$441-SUM(K$444:K449))</f>
        <v>0</v>
      </c>
      <c r="L450" s="416">
        <f>IF(L$441&gt;$A450,$A450-$A449,L$441-SUM(L$444:L449))</f>
        <v>0</v>
      </c>
      <c r="M450" s="283"/>
      <c r="N450" s="405">
        <f t="shared" si="171"/>
        <v>6</v>
      </c>
      <c r="O450" s="95">
        <f t="shared" si="171"/>
        <v>6</v>
      </c>
      <c r="P450" s="95">
        <f t="shared" si="171"/>
        <v>6</v>
      </c>
      <c r="Q450" s="95">
        <f t="shared" si="171"/>
        <v>3.4400000000000008</v>
      </c>
      <c r="R450" s="95">
        <f t="shared" si="171"/>
        <v>4.2900000000000009</v>
      </c>
      <c r="S450" s="95">
        <f t="shared" si="171"/>
        <v>1.8800000000000006</v>
      </c>
      <c r="T450" s="95">
        <f t="shared" si="171"/>
        <v>0</v>
      </c>
      <c r="U450" s="95">
        <f t="shared" si="171"/>
        <v>2.0600000000000009</v>
      </c>
      <c r="V450" s="95">
        <f t="shared" si="171"/>
        <v>0</v>
      </c>
      <c r="W450" s="95">
        <f t="shared" si="171"/>
        <v>0</v>
      </c>
      <c r="X450" s="283"/>
    </row>
    <row r="451" spans="1:24" s="8" customFormat="1" outlineLevel="2">
      <c r="A451" s="416">
        <f>D$58</f>
        <v>75</v>
      </c>
      <c r="B451" s="416">
        <f>B$58</f>
        <v>0.15</v>
      </c>
      <c r="C451" s="411">
        <f>IF(C$441&gt;$A451,$A451-$A450,C$441-SUM(C$444:C450))</f>
        <v>25</v>
      </c>
      <c r="D451" s="416">
        <f>IF(D$441&gt;$A451,$A451-$A450,D$441-SUM(D$444:D450))</f>
        <v>25</v>
      </c>
      <c r="E451" s="416">
        <f>IF(E$441&gt;$A451,$A451-$A450,E$441-SUM(E$444:E450))</f>
        <v>5.1999999999999957</v>
      </c>
      <c r="F451" s="416">
        <f>IF(F$441&gt;$A451,$A451-$A450,F$441-SUM(F$444:F450))</f>
        <v>0</v>
      </c>
      <c r="G451" s="416">
        <f>IF(G$441&gt;$A451,$A451-$A450,G$441-SUM(G$444:G450))</f>
        <v>0</v>
      </c>
      <c r="H451" s="416">
        <f>IF(H$441&gt;$A451,$A451-$A450,H$441-SUM(H$444:H450))</f>
        <v>0</v>
      </c>
      <c r="I451" s="416">
        <f>IF(I$441&gt;$A451,$A451-$A450,I$441-SUM(I$444:I450))</f>
        <v>0</v>
      </c>
      <c r="J451" s="416">
        <f>IF(J$441&gt;$A451,$A451-$A450,J$441-SUM(J$444:J450))</f>
        <v>0</v>
      </c>
      <c r="K451" s="416">
        <f>IF(K$441&gt;$A451,$A451-$A450,K$441-SUM(K$444:K450))</f>
        <v>0</v>
      </c>
      <c r="L451" s="416">
        <f>IF(L$441&gt;$A451,$A451-$A450,L$441-SUM(L$444:L450))</f>
        <v>0</v>
      </c>
      <c r="M451" s="283"/>
      <c r="N451" s="405">
        <f t="shared" si="171"/>
        <v>3.75</v>
      </c>
      <c r="O451" s="95">
        <f t="shared" si="171"/>
        <v>3.75</v>
      </c>
      <c r="P451" s="95">
        <f t="shared" si="171"/>
        <v>0.77999999999999936</v>
      </c>
      <c r="Q451" s="95">
        <f t="shared" si="171"/>
        <v>0</v>
      </c>
      <c r="R451" s="95">
        <f t="shared" si="171"/>
        <v>0</v>
      </c>
      <c r="S451" s="95">
        <f t="shared" si="171"/>
        <v>0</v>
      </c>
      <c r="T451" s="95">
        <f t="shared" si="171"/>
        <v>0</v>
      </c>
      <c r="U451" s="95">
        <f t="shared" si="171"/>
        <v>0</v>
      </c>
      <c r="V451" s="95">
        <f t="shared" si="171"/>
        <v>0</v>
      </c>
      <c r="W451" s="95">
        <f t="shared" si="171"/>
        <v>0</v>
      </c>
      <c r="X451" s="283"/>
    </row>
    <row r="452" spans="1:24" s="8" customFormat="1" outlineLevel="2">
      <c r="A452" s="416">
        <f>D$59</f>
        <v>9999</v>
      </c>
      <c r="B452" s="416">
        <f>B$59</f>
        <v>0.1</v>
      </c>
      <c r="C452" s="411">
        <f>IF(C$441&gt;$A452,$A452-$A451,C$441-SUM(C$444:C451))</f>
        <v>84</v>
      </c>
      <c r="D452" s="416">
        <f>IF(D$441&gt;$A452,$A452-$A451,D$441-SUM(D$444:D451))</f>
        <v>25.09999999999998</v>
      </c>
      <c r="E452" s="416">
        <f>IF(E$441&gt;$A452,$A452-$A451,E$441-SUM(E$444:E451))</f>
        <v>0</v>
      </c>
      <c r="F452" s="416">
        <f>IF(F$441&gt;$A452,$A452-$A451,F$441-SUM(F$444:F451))</f>
        <v>0</v>
      </c>
      <c r="G452" s="416">
        <f>IF(G$441&gt;$A452,$A452-$A451,G$441-SUM(G$444:G451))</f>
        <v>0</v>
      </c>
      <c r="H452" s="416">
        <f>IF(H$441&gt;$A452,$A452-$A451,H$441-SUM(H$444:H451))</f>
        <v>0</v>
      </c>
      <c r="I452" s="416">
        <f>IF(I$441&gt;$A452,$A452-$A451,I$441-SUM(I$444:I451))</f>
        <v>0</v>
      </c>
      <c r="J452" s="416">
        <f>IF(J$441&gt;$A452,$A452-$A451,J$441-SUM(J$444:J451))</f>
        <v>0</v>
      </c>
      <c r="K452" s="416">
        <f>IF(K$441&gt;$A452,$A452-$A451,K$441-SUM(K$444:K451))</f>
        <v>0</v>
      </c>
      <c r="L452" s="416">
        <f>IF(L$441&gt;$A452,$A452-$A451,L$441-SUM(L$444:L451))</f>
        <v>0</v>
      </c>
      <c r="M452" s="283"/>
      <c r="N452" s="405">
        <f t="shared" si="171"/>
        <v>8.4</v>
      </c>
      <c r="O452" s="95">
        <f t="shared" si="171"/>
        <v>2.509999999999998</v>
      </c>
      <c r="P452" s="95">
        <f t="shared" si="171"/>
        <v>0</v>
      </c>
      <c r="Q452" s="95">
        <f t="shared" si="171"/>
        <v>0</v>
      </c>
      <c r="R452" s="95">
        <f t="shared" si="171"/>
        <v>0</v>
      </c>
      <c r="S452" s="95">
        <f t="shared" si="171"/>
        <v>0</v>
      </c>
      <c r="T452" s="95">
        <f t="shared" si="171"/>
        <v>0</v>
      </c>
      <c r="U452" s="95">
        <f t="shared" si="171"/>
        <v>0</v>
      </c>
      <c r="V452" s="95">
        <f t="shared" si="171"/>
        <v>0</v>
      </c>
      <c r="W452" s="95">
        <f t="shared" si="171"/>
        <v>0</v>
      </c>
      <c r="X452" s="283"/>
    </row>
    <row r="453" spans="1:24" s="8" customFormat="1" outlineLevel="1">
      <c r="A453" s="404"/>
      <c r="B453" s="417" t="str">
        <f>CONCATENATE(B440," Total")</f>
        <v>Motorola Total</v>
      </c>
      <c r="C453" s="418">
        <f>SUM(C444:C452)</f>
        <v>159</v>
      </c>
      <c r="D453" s="419">
        <f t="shared" ref="D453:L453" si="172">SUM(D444:D452)</f>
        <v>100.09999999999998</v>
      </c>
      <c r="E453" s="419">
        <f t="shared" si="172"/>
        <v>55.199999999999996</v>
      </c>
      <c r="F453" s="419">
        <f t="shared" si="172"/>
        <v>37.200000000000003</v>
      </c>
      <c r="G453" s="419">
        <f t="shared" si="172"/>
        <v>41.45</v>
      </c>
      <c r="H453" s="419">
        <f t="shared" si="172"/>
        <v>29.400000000000002</v>
      </c>
      <c r="I453" s="419">
        <f t="shared" si="172"/>
        <v>15.9</v>
      </c>
      <c r="J453" s="419">
        <f t="shared" si="172"/>
        <v>30.300000000000004</v>
      </c>
      <c r="K453" s="419">
        <f t="shared" si="172"/>
        <v>0</v>
      </c>
      <c r="L453" s="419">
        <f t="shared" si="172"/>
        <v>0</v>
      </c>
      <c r="M453" s="283"/>
      <c r="N453" s="420">
        <f>SUM(N444:N452)</f>
        <v>25.36</v>
      </c>
      <c r="O453" s="420">
        <f t="shared" ref="O453:W453" si="173">SUM(O444:O452)</f>
        <v>19.47</v>
      </c>
      <c r="P453" s="420">
        <f t="shared" si="173"/>
        <v>13.99</v>
      </c>
      <c r="Q453" s="420">
        <f t="shared" si="173"/>
        <v>10.65</v>
      </c>
      <c r="R453" s="420">
        <f t="shared" si="173"/>
        <v>11.5</v>
      </c>
      <c r="S453" s="420">
        <f t="shared" si="173"/>
        <v>9.09</v>
      </c>
      <c r="T453" s="420">
        <f t="shared" si="173"/>
        <v>6.3079999999999998</v>
      </c>
      <c r="U453" s="420">
        <f t="shared" si="173"/>
        <v>9.2700000000000014</v>
      </c>
      <c r="V453" s="420">
        <f t="shared" si="173"/>
        <v>0</v>
      </c>
      <c r="W453" s="420">
        <f t="shared" si="173"/>
        <v>0</v>
      </c>
      <c r="X453" s="283"/>
    </row>
    <row r="454" spans="1:24" s="8" customFormat="1" outlineLevel="1">
      <c r="B454" s="421" t="s">
        <v>778</v>
      </c>
      <c r="C454" s="422">
        <f t="shared" ref="C454:L454" si="174">C453-C441</f>
        <v>0</v>
      </c>
      <c r="D454" s="423">
        <f t="shared" si="174"/>
        <v>0</v>
      </c>
      <c r="E454" s="423">
        <f t="shared" si="174"/>
        <v>0</v>
      </c>
      <c r="F454" s="423">
        <f t="shared" si="174"/>
        <v>0</v>
      </c>
      <c r="G454" s="423">
        <f t="shared" si="174"/>
        <v>0</v>
      </c>
      <c r="H454" s="423">
        <f t="shared" si="174"/>
        <v>0</v>
      </c>
      <c r="I454" s="423">
        <f t="shared" si="174"/>
        <v>0</v>
      </c>
      <c r="J454" s="423">
        <f t="shared" si="174"/>
        <v>0</v>
      </c>
      <c r="K454" s="423">
        <f t="shared" si="174"/>
        <v>0</v>
      </c>
      <c r="L454" s="423">
        <f t="shared" si="174"/>
        <v>0</v>
      </c>
      <c r="M454" s="283"/>
      <c r="N454" s="283"/>
      <c r="O454" s="283"/>
      <c r="P454" s="283"/>
      <c r="Q454" s="283"/>
      <c r="R454" s="283"/>
      <c r="S454" s="283"/>
      <c r="T454" s="283"/>
      <c r="U454" s="283"/>
      <c r="V454" s="283"/>
      <c r="W454" s="283"/>
      <c r="X454" s="283"/>
    </row>
    <row r="455" spans="1:24" s="8" customFormat="1" outlineLevel="1">
      <c r="C455" s="283"/>
      <c r="M455" s="283"/>
      <c r="X455" s="283"/>
    </row>
    <row r="456" spans="1:24" s="8" customFormat="1" outlineLevel="1" collapsed="1">
      <c r="A456" s="8">
        <f>A440+1</f>
        <v>18</v>
      </c>
      <c r="B456" s="424" t="str">
        <f>A157</f>
        <v>NEC</v>
      </c>
      <c r="C456" s="80">
        <v>2007</v>
      </c>
      <c r="D456" s="66">
        <f>C456+1</f>
        <v>2008</v>
      </c>
      <c r="E456" s="66">
        <f t="shared" ref="E456:L456" si="175">D456+1</f>
        <v>2009</v>
      </c>
      <c r="F456" s="66">
        <f t="shared" si="175"/>
        <v>2010</v>
      </c>
      <c r="G456" s="66">
        <f t="shared" si="175"/>
        <v>2011</v>
      </c>
      <c r="H456" s="66">
        <f t="shared" si="175"/>
        <v>2012</v>
      </c>
      <c r="I456" s="66">
        <f t="shared" si="175"/>
        <v>2013</v>
      </c>
      <c r="J456" s="66">
        <f t="shared" si="175"/>
        <v>2014</v>
      </c>
      <c r="K456" s="66">
        <f t="shared" si="175"/>
        <v>2015</v>
      </c>
      <c r="L456" s="66">
        <f t="shared" si="175"/>
        <v>2016</v>
      </c>
      <c r="M456" s="283"/>
      <c r="N456" s="168">
        <f t="shared" ref="N456:W456" si="176">C456</f>
        <v>2007</v>
      </c>
      <c r="O456" s="66">
        <f t="shared" si="176"/>
        <v>2008</v>
      </c>
      <c r="P456" s="66">
        <f t="shared" si="176"/>
        <v>2009</v>
      </c>
      <c r="Q456" s="66">
        <f t="shared" si="176"/>
        <v>2010</v>
      </c>
      <c r="R456" s="66">
        <f t="shared" si="176"/>
        <v>2011</v>
      </c>
      <c r="S456" s="66">
        <f t="shared" si="176"/>
        <v>2012</v>
      </c>
      <c r="T456" s="66">
        <f t="shared" si="176"/>
        <v>2013</v>
      </c>
      <c r="U456" s="66">
        <f t="shared" si="176"/>
        <v>2014</v>
      </c>
      <c r="V456" s="66">
        <f t="shared" si="176"/>
        <v>2015</v>
      </c>
      <c r="W456" s="66">
        <f t="shared" si="176"/>
        <v>2016</v>
      </c>
      <c r="X456" s="283"/>
    </row>
    <row r="457" spans="1:24" s="8" customFormat="1" outlineLevel="2">
      <c r="B457" s="8" t="s">
        <v>1348</v>
      </c>
      <c r="C457" s="411">
        <f t="shared" ref="C457:L457" si="177">VLOOKUP($B456,$A$140:$K$175,C$183+1,FALSE)</f>
        <v>4.5</v>
      </c>
      <c r="D457" s="412">
        <f t="shared" si="177"/>
        <v>5.7</v>
      </c>
      <c r="E457" s="412">
        <f t="shared" si="177"/>
        <v>3.8999999999999995</v>
      </c>
      <c r="F457" s="412">
        <f t="shared" si="177"/>
        <v>4.1999999999999993</v>
      </c>
      <c r="G457" s="412">
        <f t="shared" si="177"/>
        <v>4.25</v>
      </c>
      <c r="H457" s="412">
        <f t="shared" si="177"/>
        <v>3.3</v>
      </c>
      <c r="I457" s="412">
        <f t="shared" si="177"/>
        <v>1.1500000000000001</v>
      </c>
      <c r="J457" s="412">
        <f t="shared" si="177"/>
        <v>0</v>
      </c>
      <c r="K457" s="412">
        <f t="shared" si="177"/>
        <v>0</v>
      </c>
      <c r="L457" s="412">
        <f t="shared" si="177"/>
        <v>0</v>
      </c>
      <c r="M457" s="283"/>
      <c r="N457" s="283"/>
      <c r="X457" s="283"/>
    </row>
    <row r="458" spans="1:24" s="8" customFormat="1" outlineLevel="2">
      <c r="C458" s="413"/>
      <c r="D458" s="414"/>
      <c r="E458" s="414"/>
      <c r="F458" s="414"/>
      <c r="G458" s="414"/>
      <c r="H458" s="414"/>
      <c r="I458" s="414"/>
      <c r="J458" s="414"/>
      <c r="K458" s="414"/>
      <c r="L458" s="414"/>
      <c r="M458" s="283"/>
      <c r="N458" s="283"/>
      <c r="X458" s="283"/>
    </row>
    <row r="459" spans="1:24" s="8" customFormat="1" outlineLevel="2">
      <c r="A459" s="66" t="s">
        <v>1349</v>
      </c>
      <c r="B459" s="66" t="s">
        <v>1350</v>
      </c>
      <c r="C459" s="415"/>
      <c r="F459" s="9"/>
      <c r="M459" s="283"/>
      <c r="N459" s="283"/>
      <c r="X459" s="283"/>
    </row>
    <row r="460" spans="1:24" s="8" customFormat="1" outlineLevel="2">
      <c r="A460" s="416">
        <f>D$51</f>
        <v>0.5</v>
      </c>
      <c r="B460" s="416">
        <f>B$51</f>
        <v>0.98</v>
      </c>
      <c r="C460" s="411">
        <f>IF(C$457&gt;$A460,$A460,C$457)</f>
        <v>0.5</v>
      </c>
      <c r="D460" s="416">
        <f t="shared" ref="D460:L460" si="178">IF(D$457&gt;$A460,$A460,D$457)</f>
        <v>0.5</v>
      </c>
      <c r="E460" s="416">
        <f t="shared" si="178"/>
        <v>0.5</v>
      </c>
      <c r="F460" s="416">
        <f t="shared" si="178"/>
        <v>0.5</v>
      </c>
      <c r="G460" s="416">
        <f t="shared" si="178"/>
        <v>0.5</v>
      </c>
      <c r="H460" s="416">
        <f t="shared" si="178"/>
        <v>0.5</v>
      </c>
      <c r="I460" s="416">
        <f t="shared" si="178"/>
        <v>0.5</v>
      </c>
      <c r="J460" s="416">
        <f t="shared" si="178"/>
        <v>0</v>
      </c>
      <c r="K460" s="416">
        <f t="shared" si="178"/>
        <v>0</v>
      </c>
      <c r="L460" s="416">
        <f t="shared" si="178"/>
        <v>0</v>
      </c>
      <c r="M460" s="283"/>
      <c r="N460" s="405">
        <f t="shared" ref="N460:W468" si="179">C460*$B460</f>
        <v>0.49</v>
      </c>
      <c r="O460" s="95">
        <f t="shared" si="179"/>
        <v>0.49</v>
      </c>
      <c r="P460" s="95">
        <f t="shared" si="179"/>
        <v>0.49</v>
      </c>
      <c r="Q460" s="95">
        <f t="shared" si="179"/>
        <v>0.49</v>
      </c>
      <c r="R460" s="95">
        <f t="shared" si="179"/>
        <v>0.49</v>
      </c>
      <c r="S460" s="95">
        <f t="shared" si="179"/>
        <v>0.49</v>
      </c>
      <c r="T460" s="95">
        <f t="shared" si="179"/>
        <v>0.49</v>
      </c>
      <c r="U460" s="95">
        <f t="shared" si="179"/>
        <v>0</v>
      </c>
      <c r="V460" s="95">
        <f t="shared" si="179"/>
        <v>0</v>
      </c>
      <c r="W460" s="95">
        <f t="shared" si="179"/>
        <v>0</v>
      </c>
      <c r="X460" s="283"/>
    </row>
    <row r="461" spans="1:24" s="8" customFormat="1" outlineLevel="2">
      <c r="A461" s="416">
        <f>D$52</f>
        <v>1</v>
      </c>
      <c r="B461" s="416">
        <f>B$52</f>
        <v>0.78</v>
      </c>
      <c r="C461" s="411">
        <f>IF(C$457&gt;$A461,$A461-$A460,C$457-SUM(C460:C$460))</f>
        <v>0.5</v>
      </c>
      <c r="D461" s="416">
        <f>IF(D$457&gt;$A461,$A461-$A460,D$457-SUM(D460:D$460))</f>
        <v>0.5</v>
      </c>
      <c r="E461" s="416">
        <f>IF(E$457&gt;$A461,$A461-$A460,E$457-SUM(E460:E$460))</f>
        <v>0.5</v>
      </c>
      <c r="F461" s="416">
        <f>IF(F$457&gt;$A461,$A461-$A460,F$457-SUM(F460:F$460))</f>
        <v>0.5</v>
      </c>
      <c r="G461" s="416">
        <f>IF(G$457&gt;$A461,$A461-$A460,G$457-SUM(G460:G$460))</f>
        <v>0.5</v>
      </c>
      <c r="H461" s="416">
        <f>IF(H$457&gt;$A461,$A461-$A460,H$457-SUM(H460:H$460))</f>
        <v>0.5</v>
      </c>
      <c r="I461" s="416">
        <f>IF(I$457&gt;$A461,$A461-$A460,I$457-SUM(I460:I$460))</f>
        <v>0.5</v>
      </c>
      <c r="J461" s="416">
        <f>IF(J$457&gt;$A461,$A461-$A460,J$457-SUM(J460:J$460))</f>
        <v>0</v>
      </c>
      <c r="K461" s="416">
        <f>IF(K$457&gt;$A461,$A461-$A460,K$457-SUM(K460:K$460))</f>
        <v>0</v>
      </c>
      <c r="L461" s="416">
        <f>IF(L$457&gt;$A461,$A461-$A460,L$457-SUM(L460:L$460))</f>
        <v>0</v>
      </c>
      <c r="M461" s="283"/>
      <c r="N461" s="405">
        <f t="shared" si="179"/>
        <v>0.39</v>
      </c>
      <c r="O461" s="95">
        <f t="shared" si="179"/>
        <v>0.39</v>
      </c>
      <c r="P461" s="95">
        <f t="shared" si="179"/>
        <v>0.39</v>
      </c>
      <c r="Q461" s="95">
        <f t="shared" si="179"/>
        <v>0.39</v>
      </c>
      <c r="R461" s="95">
        <f t="shared" si="179"/>
        <v>0.39</v>
      </c>
      <c r="S461" s="95">
        <f t="shared" si="179"/>
        <v>0.39</v>
      </c>
      <c r="T461" s="95">
        <f t="shared" si="179"/>
        <v>0.39</v>
      </c>
      <c r="U461" s="95">
        <f t="shared" si="179"/>
        <v>0</v>
      </c>
      <c r="V461" s="95">
        <f t="shared" si="179"/>
        <v>0</v>
      </c>
      <c r="W461" s="95">
        <f t="shared" si="179"/>
        <v>0</v>
      </c>
      <c r="X461" s="283"/>
    </row>
    <row r="462" spans="1:24" s="8" customFormat="1" outlineLevel="2">
      <c r="A462" s="416">
        <f>D$53</f>
        <v>2</v>
      </c>
      <c r="B462" s="416">
        <f>B$53</f>
        <v>0.68</v>
      </c>
      <c r="C462" s="411">
        <f>IF(C$457&gt;$A462,$A462-$A461,C$457-SUM(C$460:C461))</f>
        <v>1</v>
      </c>
      <c r="D462" s="416">
        <f>IF(D$457&gt;$A462,$A462-$A461,D$457-SUM(D$460:D461))</f>
        <v>1</v>
      </c>
      <c r="E462" s="416">
        <f>IF(E$457&gt;$A462,$A462-$A461,E$457-SUM(E$460:E461))</f>
        <v>1</v>
      </c>
      <c r="F462" s="416">
        <f>IF(F$457&gt;$A462,$A462-$A461,F$457-SUM(F$460:F461))</f>
        <v>1</v>
      </c>
      <c r="G462" s="416">
        <f>IF(G$457&gt;$A462,$A462-$A461,G$457-SUM(G$460:G461))</f>
        <v>1</v>
      </c>
      <c r="H462" s="416">
        <f>IF(H$457&gt;$A462,$A462-$A461,H$457-SUM(H$460:H461))</f>
        <v>1</v>
      </c>
      <c r="I462" s="416">
        <f>IF(I$457&gt;$A462,$A462-$A461,I$457-SUM(I$460:I461))</f>
        <v>0.15000000000000013</v>
      </c>
      <c r="J462" s="416">
        <f>IF(J$457&gt;$A462,$A462-$A461,J$457-SUM(J$460:J461))</f>
        <v>0</v>
      </c>
      <c r="K462" s="416">
        <f>IF(K$457&gt;$A462,$A462-$A461,K$457-SUM(K$460:K461))</f>
        <v>0</v>
      </c>
      <c r="L462" s="416">
        <f>IF(L$457&gt;$A462,$A462-$A461,L$457-SUM(L$460:L461))</f>
        <v>0</v>
      </c>
      <c r="M462" s="283"/>
      <c r="N462" s="405">
        <f t="shared" si="179"/>
        <v>0.68</v>
      </c>
      <c r="O462" s="95">
        <f t="shared" si="179"/>
        <v>0.68</v>
      </c>
      <c r="P462" s="95">
        <f t="shared" si="179"/>
        <v>0.68</v>
      </c>
      <c r="Q462" s="95">
        <f t="shared" si="179"/>
        <v>0.68</v>
      </c>
      <c r="R462" s="95">
        <f t="shared" si="179"/>
        <v>0.68</v>
      </c>
      <c r="S462" s="95">
        <f t="shared" si="179"/>
        <v>0.68</v>
      </c>
      <c r="T462" s="95">
        <f t="shared" si="179"/>
        <v>0.1020000000000001</v>
      </c>
      <c r="U462" s="95">
        <f t="shared" si="179"/>
        <v>0</v>
      </c>
      <c r="V462" s="95">
        <f t="shared" si="179"/>
        <v>0</v>
      </c>
      <c r="W462" s="95">
        <f t="shared" si="179"/>
        <v>0</v>
      </c>
      <c r="X462" s="283"/>
    </row>
    <row r="463" spans="1:24" s="8" customFormat="1" outlineLevel="2">
      <c r="A463" s="416">
        <f>D$54</f>
        <v>5</v>
      </c>
      <c r="B463" s="416">
        <f>B$54</f>
        <v>0.45</v>
      </c>
      <c r="C463" s="411">
        <f>IF(C$457&gt;$A463,$A463-$A462,C$457-SUM(C$460:C462))</f>
        <v>2.5</v>
      </c>
      <c r="D463" s="416">
        <f>IF(D$457&gt;$A463,$A463-$A462,D$457-SUM(D$460:D462))</f>
        <v>3</v>
      </c>
      <c r="E463" s="416">
        <f>IF(E$457&gt;$A463,$A463-$A462,E$457-SUM(E$460:E462))</f>
        <v>1.8999999999999995</v>
      </c>
      <c r="F463" s="416">
        <f>IF(F$457&gt;$A463,$A463-$A462,F$457-SUM(F$460:F462))</f>
        <v>2.1999999999999993</v>
      </c>
      <c r="G463" s="416">
        <f>IF(G$457&gt;$A463,$A463-$A462,G$457-SUM(G$460:G462))</f>
        <v>2.25</v>
      </c>
      <c r="H463" s="416">
        <f>IF(H$457&gt;$A463,$A463-$A462,H$457-SUM(H$460:H462))</f>
        <v>1.2999999999999998</v>
      </c>
      <c r="I463" s="416">
        <f>IF(I$457&gt;$A463,$A463-$A462,I$457-SUM(I$460:I462))</f>
        <v>0</v>
      </c>
      <c r="J463" s="416">
        <f>IF(J$457&gt;$A463,$A463-$A462,J$457-SUM(J$460:J462))</f>
        <v>0</v>
      </c>
      <c r="K463" s="416">
        <f>IF(K$457&gt;$A463,$A463-$A462,K$457-SUM(K$460:K462))</f>
        <v>0</v>
      </c>
      <c r="L463" s="416">
        <f>IF(L$457&gt;$A463,$A463-$A462,L$457-SUM(L$460:L462))</f>
        <v>0</v>
      </c>
      <c r="M463" s="283"/>
      <c r="N463" s="405">
        <f t="shared" si="179"/>
        <v>1.125</v>
      </c>
      <c r="O463" s="95">
        <f t="shared" si="179"/>
        <v>1.35</v>
      </c>
      <c r="P463" s="95">
        <f t="shared" si="179"/>
        <v>0.85499999999999976</v>
      </c>
      <c r="Q463" s="95">
        <f t="shared" si="179"/>
        <v>0.98999999999999966</v>
      </c>
      <c r="R463" s="95">
        <f t="shared" si="179"/>
        <v>1.0125</v>
      </c>
      <c r="S463" s="95">
        <f t="shared" si="179"/>
        <v>0.58499999999999996</v>
      </c>
      <c r="T463" s="95">
        <f t="shared" si="179"/>
        <v>0</v>
      </c>
      <c r="U463" s="95">
        <f t="shared" si="179"/>
        <v>0</v>
      </c>
      <c r="V463" s="95">
        <f t="shared" si="179"/>
        <v>0</v>
      </c>
      <c r="W463" s="95">
        <f t="shared" si="179"/>
        <v>0</v>
      </c>
      <c r="X463" s="283"/>
    </row>
    <row r="464" spans="1:24" s="8" customFormat="1" outlineLevel="2">
      <c r="A464" s="416">
        <f>D$55</f>
        <v>10</v>
      </c>
      <c r="B464" s="416">
        <f>B$55</f>
        <v>0.42</v>
      </c>
      <c r="C464" s="411">
        <f>IF(C$457&gt;$A464,$A464-$A463,C$457-SUM(C$460:C463))</f>
        <v>0</v>
      </c>
      <c r="D464" s="416">
        <f>IF(D$457&gt;$A464,$A464-$A463,D$457-SUM(D$460:D463))</f>
        <v>0.70000000000000018</v>
      </c>
      <c r="E464" s="416">
        <f>IF(E$457&gt;$A464,$A464-$A463,E$457-SUM(E$460:E463))</f>
        <v>0</v>
      </c>
      <c r="F464" s="416">
        <f>IF(F$457&gt;$A464,$A464-$A463,F$457-SUM(F$460:F463))</f>
        <v>0</v>
      </c>
      <c r="G464" s="416">
        <f>IF(G$457&gt;$A464,$A464-$A463,G$457-SUM(G$460:G463))</f>
        <v>0</v>
      </c>
      <c r="H464" s="416">
        <f>IF(H$457&gt;$A464,$A464-$A463,H$457-SUM(H$460:H463))</f>
        <v>0</v>
      </c>
      <c r="I464" s="416">
        <f>IF(I$457&gt;$A464,$A464-$A463,I$457-SUM(I$460:I463))</f>
        <v>0</v>
      </c>
      <c r="J464" s="416">
        <f>IF(J$457&gt;$A464,$A464-$A463,J$457-SUM(J$460:J463))</f>
        <v>0</v>
      </c>
      <c r="K464" s="416">
        <f>IF(K$457&gt;$A464,$A464-$A463,K$457-SUM(K$460:K463))</f>
        <v>0</v>
      </c>
      <c r="L464" s="416">
        <f>IF(L$457&gt;$A464,$A464-$A463,L$457-SUM(L$460:L463))</f>
        <v>0</v>
      </c>
      <c r="M464" s="283"/>
      <c r="N464" s="405">
        <f t="shared" si="179"/>
        <v>0</v>
      </c>
      <c r="O464" s="95">
        <f t="shared" si="179"/>
        <v>0.29400000000000004</v>
      </c>
      <c r="P464" s="95">
        <f t="shared" si="179"/>
        <v>0</v>
      </c>
      <c r="Q464" s="95">
        <f t="shared" si="179"/>
        <v>0</v>
      </c>
      <c r="R464" s="95">
        <f t="shared" si="179"/>
        <v>0</v>
      </c>
      <c r="S464" s="95">
        <f t="shared" si="179"/>
        <v>0</v>
      </c>
      <c r="T464" s="95">
        <f t="shared" si="179"/>
        <v>0</v>
      </c>
      <c r="U464" s="95">
        <f t="shared" si="179"/>
        <v>0</v>
      </c>
      <c r="V464" s="95">
        <f t="shared" si="179"/>
        <v>0</v>
      </c>
      <c r="W464" s="95">
        <f t="shared" si="179"/>
        <v>0</v>
      </c>
      <c r="X464" s="283"/>
    </row>
    <row r="465" spans="1:24" s="8" customFormat="1" outlineLevel="2">
      <c r="A465" s="416">
        <f>D$56</f>
        <v>20</v>
      </c>
      <c r="B465" s="416">
        <f>B$56</f>
        <v>0.22</v>
      </c>
      <c r="C465" s="411">
        <f>IF(C$457&gt;$A465,$A465-$A464,C$457-SUM(C$460:C464))</f>
        <v>0</v>
      </c>
      <c r="D465" s="416">
        <f>IF(D$457&gt;$A465,$A465-$A464,D$457-SUM(D$460:D464))</f>
        <v>0</v>
      </c>
      <c r="E465" s="416">
        <f>IF(E$457&gt;$A465,$A465-$A464,E$457-SUM(E$460:E464))</f>
        <v>0</v>
      </c>
      <c r="F465" s="416">
        <f>IF(F$457&gt;$A465,$A465-$A464,F$457-SUM(F$460:F464))</f>
        <v>0</v>
      </c>
      <c r="G465" s="416">
        <f>IF(G$457&gt;$A465,$A465-$A464,G$457-SUM(G$460:G464))</f>
        <v>0</v>
      </c>
      <c r="H465" s="416">
        <f>IF(H$457&gt;$A465,$A465-$A464,H$457-SUM(H$460:H464))</f>
        <v>0</v>
      </c>
      <c r="I465" s="416">
        <f>IF(I$457&gt;$A465,$A465-$A464,I$457-SUM(I$460:I464))</f>
        <v>0</v>
      </c>
      <c r="J465" s="416">
        <f>IF(J$457&gt;$A465,$A465-$A464,J$457-SUM(J$460:J464))</f>
        <v>0</v>
      </c>
      <c r="K465" s="416">
        <f>IF(K$457&gt;$A465,$A465-$A464,K$457-SUM(K$460:K464))</f>
        <v>0</v>
      </c>
      <c r="L465" s="416">
        <f>IF(L$457&gt;$A465,$A465-$A464,L$457-SUM(L$460:L464))</f>
        <v>0</v>
      </c>
      <c r="M465" s="283"/>
      <c r="N465" s="405">
        <f t="shared" si="179"/>
        <v>0</v>
      </c>
      <c r="O465" s="95">
        <f t="shared" si="179"/>
        <v>0</v>
      </c>
      <c r="P465" s="95">
        <f t="shared" si="179"/>
        <v>0</v>
      </c>
      <c r="Q465" s="95">
        <f t="shared" si="179"/>
        <v>0</v>
      </c>
      <c r="R465" s="95">
        <f t="shared" si="179"/>
        <v>0</v>
      </c>
      <c r="S465" s="95">
        <f t="shared" si="179"/>
        <v>0</v>
      </c>
      <c r="T465" s="95">
        <f t="shared" si="179"/>
        <v>0</v>
      </c>
      <c r="U465" s="95">
        <f t="shared" si="179"/>
        <v>0</v>
      </c>
      <c r="V465" s="95">
        <f t="shared" si="179"/>
        <v>0</v>
      </c>
      <c r="W465" s="95">
        <f t="shared" si="179"/>
        <v>0</v>
      </c>
      <c r="X465" s="283"/>
    </row>
    <row r="466" spans="1:24" s="8" customFormat="1" outlineLevel="2">
      <c r="A466" s="416">
        <f>D$57</f>
        <v>50</v>
      </c>
      <c r="B466" s="416">
        <f>B$57</f>
        <v>0.2</v>
      </c>
      <c r="C466" s="411">
        <f>IF(C$457&gt;$A466,$A466-$A465,C$457-SUM(C$460:C465))</f>
        <v>0</v>
      </c>
      <c r="D466" s="416">
        <f>IF(D$457&gt;$A466,$A466-$A465,D$457-SUM(D$460:D465))</f>
        <v>0</v>
      </c>
      <c r="E466" s="416">
        <f>IF(E$457&gt;$A466,$A466-$A465,E$457-SUM(E$460:E465))</f>
        <v>0</v>
      </c>
      <c r="F466" s="416">
        <f>IF(F$457&gt;$A466,$A466-$A465,F$457-SUM(F$460:F465))</f>
        <v>0</v>
      </c>
      <c r="G466" s="416">
        <f>IF(G$457&gt;$A466,$A466-$A465,G$457-SUM(G$460:G465))</f>
        <v>0</v>
      </c>
      <c r="H466" s="416">
        <f>IF(H$457&gt;$A466,$A466-$A465,H$457-SUM(H$460:H465))</f>
        <v>0</v>
      </c>
      <c r="I466" s="416">
        <f>IF(I$457&gt;$A466,$A466-$A465,I$457-SUM(I$460:I465))</f>
        <v>0</v>
      </c>
      <c r="J466" s="416">
        <f>IF(J$457&gt;$A466,$A466-$A465,J$457-SUM(J$460:J465))</f>
        <v>0</v>
      </c>
      <c r="K466" s="416">
        <f>IF(K$457&gt;$A466,$A466-$A465,K$457-SUM(K$460:K465))</f>
        <v>0</v>
      </c>
      <c r="L466" s="416">
        <f>IF(L$457&gt;$A466,$A466-$A465,L$457-SUM(L$460:L465))</f>
        <v>0</v>
      </c>
      <c r="M466" s="283"/>
      <c r="N466" s="405">
        <f t="shared" si="179"/>
        <v>0</v>
      </c>
      <c r="O466" s="95">
        <f t="shared" si="179"/>
        <v>0</v>
      </c>
      <c r="P466" s="95">
        <f t="shared" si="179"/>
        <v>0</v>
      </c>
      <c r="Q466" s="95">
        <f t="shared" si="179"/>
        <v>0</v>
      </c>
      <c r="R466" s="95">
        <f t="shared" si="179"/>
        <v>0</v>
      </c>
      <c r="S466" s="95">
        <f t="shared" si="179"/>
        <v>0</v>
      </c>
      <c r="T466" s="95">
        <f t="shared" si="179"/>
        <v>0</v>
      </c>
      <c r="U466" s="95">
        <f t="shared" si="179"/>
        <v>0</v>
      </c>
      <c r="V466" s="95">
        <f t="shared" si="179"/>
        <v>0</v>
      </c>
      <c r="W466" s="95">
        <f t="shared" si="179"/>
        <v>0</v>
      </c>
      <c r="X466" s="283"/>
    </row>
    <row r="467" spans="1:24" s="8" customFormat="1" outlineLevel="2">
      <c r="A467" s="416">
        <f>D$58</f>
        <v>75</v>
      </c>
      <c r="B467" s="416">
        <f>B$58</f>
        <v>0.15</v>
      </c>
      <c r="C467" s="411">
        <f>IF(C$457&gt;$A467,$A467-$A466,C$457-SUM(C$460:C466))</f>
        <v>0</v>
      </c>
      <c r="D467" s="416">
        <f>IF(D$457&gt;$A467,$A467-$A466,D$457-SUM(D$460:D466))</f>
        <v>0</v>
      </c>
      <c r="E467" s="416">
        <f>IF(E$457&gt;$A467,$A467-$A466,E$457-SUM(E$460:E466))</f>
        <v>0</v>
      </c>
      <c r="F467" s="416">
        <f>IF(F$457&gt;$A467,$A467-$A466,F$457-SUM(F$460:F466))</f>
        <v>0</v>
      </c>
      <c r="G467" s="416">
        <f>IF(G$457&gt;$A467,$A467-$A466,G$457-SUM(G$460:G466))</f>
        <v>0</v>
      </c>
      <c r="H467" s="416">
        <f>IF(H$457&gt;$A467,$A467-$A466,H$457-SUM(H$460:H466))</f>
        <v>0</v>
      </c>
      <c r="I467" s="416">
        <f>IF(I$457&gt;$A467,$A467-$A466,I$457-SUM(I$460:I466))</f>
        <v>0</v>
      </c>
      <c r="J467" s="416">
        <f>IF(J$457&gt;$A467,$A467-$A466,J$457-SUM(J$460:J466))</f>
        <v>0</v>
      </c>
      <c r="K467" s="416">
        <f>IF(K$457&gt;$A467,$A467-$A466,K$457-SUM(K$460:K466))</f>
        <v>0</v>
      </c>
      <c r="L467" s="416">
        <f>IF(L$457&gt;$A467,$A467-$A466,L$457-SUM(L$460:L466))</f>
        <v>0</v>
      </c>
      <c r="M467" s="283"/>
      <c r="N467" s="405">
        <f t="shared" si="179"/>
        <v>0</v>
      </c>
      <c r="O467" s="95">
        <f t="shared" si="179"/>
        <v>0</v>
      </c>
      <c r="P467" s="95">
        <f t="shared" si="179"/>
        <v>0</v>
      </c>
      <c r="Q467" s="95">
        <f t="shared" si="179"/>
        <v>0</v>
      </c>
      <c r="R467" s="95">
        <f t="shared" si="179"/>
        <v>0</v>
      </c>
      <c r="S467" s="95">
        <f t="shared" si="179"/>
        <v>0</v>
      </c>
      <c r="T467" s="95">
        <f t="shared" si="179"/>
        <v>0</v>
      </c>
      <c r="U467" s="95">
        <f t="shared" si="179"/>
        <v>0</v>
      </c>
      <c r="V467" s="95">
        <f t="shared" si="179"/>
        <v>0</v>
      </c>
      <c r="W467" s="95">
        <f t="shared" si="179"/>
        <v>0</v>
      </c>
      <c r="X467" s="283"/>
    </row>
    <row r="468" spans="1:24" s="8" customFormat="1" outlineLevel="2">
      <c r="A468" s="416">
        <f>D$59</f>
        <v>9999</v>
      </c>
      <c r="B468" s="416">
        <f>B$59</f>
        <v>0.1</v>
      </c>
      <c r="C468" s="411">
        <f>IF(C$457&gt;$A468,$A468-$A467,C$457-SUM(C$460:C467))</f>
        <v>0</v>
      </c>
      <c r="D468" s="416">
        <f>IF(D$457&gt;$A468,$A468-$A467,D$457-SUM(D$460:D467))</f>
        <v>0</v>
      </c>
      <c r="E468" s="416">
        <f>IF(E$457&gt;$A468,$A468-$A467,E$457-SUM(E$460:E467))</f>
        <v>0</v>
      </c>
      <c r="F468" s="416">
        <f>IF(F$457&gt;$A468,$A468-$A467,F$457-SUM(F$460:F467))</f>
        <v>0</v>
      </c>
      <c r="G468" s="416">
        <f>IF(G$457&gt;$A468,$A468-$A467,G$457-SUM(G$460:G467))</f>
        <v>0</v>
      </c>
      <c r="H468" s="416">
        <f>IF(H$457&gt;$A468,$A468-$A467,H$457-SUM(H$460:H467))</f>
        <v>0</v>
      </c>
      <c r="I468" s="416">
        <f>IF(I$457&gt;$A468,$A468-$A467,I$457-SUM(I$460:I467))</f>
        <v>0</v>
      </c>
      <c r="J468" s="416">
        <f>IF(J$457&gt;$A468,$A468-$A467,J$457-SUM(J$460:J467))</f>
        <v>0</v>
      </c>
      <c r="K468" s="416">
        <f>IF(K$457&gt;$A468,$A468-$A467,K$457-SUM(K$460:K467))</f>
        <v>0</v>
      </c>
      <c r="L468" s="416">
        <f>IF(L$457&gt;$A468,$A468-$A467,L$457-SUM(L$460:L467))</f>
        <v>0</v>
      </c>
      <c r="M468" s="283"/>
      <c r="N468" s="405">
        <f t="shared" si="179"/>
        <v>0</v>
      </c>
      <c r="O468" s="95">
        <f t="shared" si="179"/>
        <v>0</v>
      </c>
      <c r="P468" s="95">
        <f t="shared" si="179"/>
        <v>0</v>
      </c>
      <c r="Q468" s="95">
        <f t="shared" si="179"/>
        <v>0</v>
      </c>
      <c r="R468" s="95">
        <f t="shared" si="179"/>
        <v>0</v>
      </c>
      <c r="S468" s="95">
        <f t="shared" si="179"/>
        <v>0</v>
      </c>
      <c r="T468" s="95">
        <f t="shared" si="179"/>
        <v>0</v>
      </c>
      <c r="U468" s="95">
        <f t="shared" si="179"/>
        <v>0</v>
      </c>
      <c r="V468" s="95">
        <f t="shared" si="179"/>
        <v>0</v>
      </c>
      <c r="W468" s="95">
        <f t="shared" si="179"/>
        <v>0</v>
      </c>
      <c r="X468" s="283"/>
    </row>
    <row r="469" spans="1:24" s="8" customFormat="1" outlineLevel="1">
      <c r="A469" s="404"/>
      <c r="B469" s="417" t="str">
        <f>CONCATENATE(B456," Total")</f>
        <v>NEC Total</v>
      </c>
      <c r="C469" s="418">
        <f>SUM(C460:C468)</f>
        <v>4.5</v>
      </c>
      <c r="D469" s="419">
        <f t="shared" ref="D469:L469" si="180">SUM(D460:D468)</f>
        <v>5.7</v>
      </c>
      <c r="E469" s="419">
        <f t="shared" si="180"/>
        <v>3.8999999999999995</v>
      </c>
      <c r="F469" s="419">
        <f t="shared" si="180"/>
        <v>4.1999999999999993</v>
      </c>
      <c r="G469" s="419">
        <f t="shared" si="180"/>
        <v>4.25</v>
      </c>
      <c r="H469" s="419">
        <f t="shared" si="180"/>
        <v>3.3</v>
      </c>
      <c r="I469" s="419">
        <f t="shared" si="180"/>
        <v>1.1500000000000001</v>
      </c>
      <c r="J469" s="419">
        <f t="shared" si="180"/>
        <v>0</v>
      </c>
      <c r="K469" s="419">
        <f t="shared" si="180"/>
        <v>0</v>
      </c>
      <c r="L469" s="419">
        <f t="shared" si="180"/>
        <v>0</v>
      </c>
      <c r="M469" s="283"/>
      <c r="N469" s="420">
        <f>SUM(N460:N468)</f>
        <v>2.6850000000000001</v>
      </c>
      <c r="O469" s="420">
        <f t="shared" ref="O469:W469" si="181">SUM(O460:O468)</f>
        <v>3.2040000000000002</v>
      </c>
      <c r="P469" s="420">
        <f t="shared" si="181"/>
        <v>2.415</v>
      </c>
      <c r="Q469" s="420">
        <f t="shared" si="181"/>
        <v>2.5499999999999998</v>
      </c>
      <c r="R469" s="420">
        <f t="shared" si="181"/>
        <v>2.5724999999999998</v>
      </c>
      <c r="S469" s="420">
        <f t="shared" si="181"/>
        <v>2.145</v>
      </c>
      <c r="T469" s="420">
        <f t="shared" si="181"/>
        <v>0.9820000000000001</v>
      </c>
      <c r="U469" s="420">
        <f t="shared" si="181"/>
        <v>0</v>
      </c>
      <c r="V469" s="420">
        <f t="shared" si="181"/>
        <v>0</v>
      </c>
      <c r="W469" s="420">
        <f t="shared" si="181"/>
        <v>0</v>
      </c>
      <c r="X469" s="283"/>
    </row>
    <row r="470" spans="1:24" s="8" customFormat="1" outlineLevel="1">
      <c r="B470" s="421" t="s">
        <v>778</v>
      </c>
      <c r="C470" s="422">
        <f t="shared" ref="C470:L470" si="182">C469-C457</f>
        <v>0</v>
      </c>
      <c r="D470" s="423">
        <f t="shared" si="182"/>
        <v>0</v>
      </c>
      <c r="E470" s="423">
        <f t="shared" si="182"/>
        <v>0</v>
      </c>
      <c r="F470" s="423">
        <f t="shared" si="182"/>
        <v>0</v>
      </c>
      <c r="G470" s="423">
        <f t="shared" si="182"/>
        <v>0</v>
      </c>
      <c r="H470" s="423">
        <f t="shared" si="182"/>
        <v>0</v>
      </c>
      <c r="I470" s="423">
        <f t="shared" si="182"/>
        <v>0</v>
      </c>
      <c r="J470" s="423">
        <f t="shared" si="182"/>
        <v>0</v>
      </c>
      <c r="K470" s="423">
        <f t="shared" si="182"/>
        <v>0</v>
      </c>
      <c r="L470" s="423">
        <f t="shared" si="182"/>
        <v>0</v>
      </c>
      <c r="M470" s="283"/>
      <c r="N470" s="283"/>
      <c r="O470" s="283"/>
      <c r="P470" s="283"/>
      <c r="Q470" s="283"/>
      <c r="R470" s="283"/>
      <c r="S470" s="283"/>
      <c r="T470" s="283"/>
      <c r="U470" s="283"/>
      <c r="V470" s="283"/>
      <c r="W470" s="283"/>
      <c r="X470" s="283"/>
    </row>
    <row r="471" spans="1:24" s="8" customFormat="1" outlineLevel="1">
      <c r="B471" s="283"/>
      <c r="C471" s="283"/>
      <c r="M471" s="283"/>
      <c r="X471" s="283"/>
    </row>
    <row r="472" spans="1:24" s="8" customFormat="1" outlineLevel="1" collapsed="1">
      <c r="A472" s="8">
        <f>A456+1</f>
        <v>19</v>
      </c>
      <c r="B472" s="424" t="str">
        <f>A158</f>
        <v>Oppo</v>
      </c>
      <c r="C472" s="80">
        <v>2007</v>
      </c>
      <c r="D472" s="66">
        <f>C472+1</f>
        <v>2008</v>
      </c>
      <c r="E472" s="66">
        <f t="shared" ref="E472:L472" si="183">D472+1</f>
        <v>2009</v>
      </c>
      <c r="F472" s="66">
        <f t="shared" si="183"/>
        <v>2010</v>
      </c>
      <c r="G472" s="66">
        <f t="shared" si="183"/>
        <v>2011</v>
      </c>
      <c r="H472" s="66">
        <f t="shared" si="183"/>
        <v>2012</v>
      </c>
      <c r="I472" s="66">
        <f t="shared" si="183"/>
        <v>2013</v>
      </c>
      <c r="J472" s="66">
        <f t="shared" si="183"/>
        <v>2014</v>
      </c>
      <c r="K472" s="66">
        <f t="shared" si="183"/>
        <v>2015</v>
      </c>
      <c r="L472" s="66">
        <f t="shared" si="183"/>
        <v>2016</v>
      </c>
      <c r="M472" s="283"/>
      <c r="N472" s="168">
        <f t="shared" ref="N472:W472" si="184">C472</f>
        <v>2007</v>
      </c>
      <c r="O472" s="66">
        <f t="shared" si="184"/>
        <v>2008</v>
      </c>
      <c r="P472" s="66">
        <f t="shared" si="184"/>
        <v>2009</v>
      </c>
      <c r="Q472" s="66">
        <f t="shared" si="184"/>
        <v>2010</v>
      </c>
      <c r="R472" s="66">
        <f t="shared" si="184"/>
        <v>2011</v>
      </c>
      <c r="S472" s="66">
        <f t="shared" si="184"/>
        <v>2012</v>
      </c>
      <c r="T472" s="66">
        <f t="shared" si="184"/>
        <v>2013</v>
      </c>
      <c r="U472" s="66">
        <f t="shared" si="184"/>
        <v>2014</v>
      </c>
      <c r="V472" s="66">
        <f t="shared" si="184"/>
        <v>2015</v>
      </c>
      <c r="W472" s="66">
        <f t="shared" si="184"/>
        <v>2016</v>
      </c>
      <c r="X472" s="283"/>
    </row>
    <row r="473" spans="1:24" s="8" customFormat="1" outlineLevel="2">
      <c r="B473" s="8" t="s">
        <v>1348</v>
      </c>
      <c r="C473" s="411">
        <f t="shared" ref="C473:L473" si="185">VLOOKUP($B472,$A$140:$K$175,C$183+1,FALSE)</f>
        <v>0</v>
      </c>
      <c r="D473" s="412">
        <f t="shared" si="185"/>
        <v>0</v>
      </c>
      <c r="E473" s="412">
        <f t="shared" si="185"/>
        <v>0</v>
      </c>
      <c r="F473" s="412">
        <f t="shared" si="185"/>
        <v>0</v>
      </c>
      <c r="G473" s="412">
        <f t="shared" si="185"/>
        <v>0</v>
      </c>
      <c r="H473" s="412">
        <f t="shared" si="185"/>
        <v>0</v>
      </c>
      <c r="I473" s="412">
        <f t="shared" si="185"/>
        <v>0</v>
      </c>
      <c r="J473" s="412">
        <f t="shared" si="185"/>
        <v>0</v>
      </c>
      <c r="K473" s="412">
        <f t="shared" si="185"/>
        <v>42.8</v>
      </c>
      <c r="L473" s="412">
        <f t="shared" si="185"/>
        <v>96.4</v>
      </c>
      <c r="M473" s="283"/>
      <c r="N473" s="283"/>
      <c r="X473" s="283"/>
    </row>
    <row r="474" spans="1:24" s="8" customFormat="1" outlineLevel="2">
      <c r="C474" s="413"/>
      <c r="D474" s="414"/>
      <c r="E474" s="414"/>
      <c r="F474" s="414"/>
      <c r="G474" s="414"/>
      <c r="H474" s="414"/>
      <c r="I474" s="414"/>
      <c r="J474" s="414"/>
      <c r="K474" s="414"/>
      <c r="L474" s="414"/>
      <c r="M474" s="283"/>
      <c r="N474" s="283"/>
      <c r="X474" s="283"/>
    </row>
    <row r="475" spans="1:24" s="8" customFormat="1" outlineLevel="2">
      <c r="A475" s="66" t="s">
        <v>1349</v>
      </c>
      <c r="B475" s="66" t="s">
        <v>1350</v>
      </c>
      <c r="C475" s="415"/>
      <c r="F475" s="9"/>
      <c r="M475" s="283"/>
      <c r="N475" s="283"/>
      <c r="X475" s="283"/>
    </row>
    <row r="476" spans="1:24" s="8" customFormat="1" outlineLevel="2">
      <c r="A476" s="416">
        <f>D$51</f>
        <v>0.5</v>
      </c>
      <c r="B476" s="416">
        <f>B$51</f>
        <v>0.98</v>
      </c>
      <c r="C476" s="411">
        <f>IF(C$473&gt;$A476,$A476,C$473)</f>
        <v>0</v>
      </c>
      <c r="D476" s="416">
        <f t="shared" ref="D476:L476" si="186">IF(D$473&gt;$A476,$A476,D$473)</f>
        <v>0</v>
      </c>
      <c r="E476" s="416">
        <f t="shared" si="186"/>
        <v>0</v>
      </c>
      <c r="F476" s="416">
        <f t="shared" si="186"/>
        <v>0</v>
      </c>
      <c r="G476" s="416">
        <f t="shared" si="186"/>
        <v>0</v>
      </c>
      <c r="H476" s="416">
        <f t="shared" si="186"/>
        <v>0</v>
      </c>
      <c r="I476" s="416">
        <f t="shared" si="186"/>
        <v>0</v>
      </c>
      <c r="J476" s="416">
        <f t="shared" si="186"/>
        <v>0</v>
      </c>
      <c r="K476" s="416">
        <f t="shared" si="186"/>
        <v>0.5</v>
      </c>
      <c r="L476" s="416">
        <f t="shared" si="186"/>
        <v>0.5</v>
      </c>
      <c r="M476" s="283"/>
      <c r="N476" s="405">
        <f t="shared" ref="N476:W484" si="187">C476*$B476</f>
        <v>0</v>
      </c>
      <c r="O476" s="95">
        <f t="shared" si="187"/>
        <v>0</v>
      </c>
      <c r="P476" s="95">
        <f t="shared" si="187"/>
        <v>0</v>
      </c>
      <c r="Q476" s="95">
        <f t="shared" si="187"/>
        <v>0</v>
      </c>
      <c r="R476" s="95">
        <f t="shared" si="187"/>
        <v>0</v>
      </c>
      <c r="S476" s="95">
        <f t="shared" si="187"/>
        <v>0</v>
      </c>
      <c r="T476" s="95">
        <f t="shared" si="187"/>
        <v>0</v>
      </c>
      <c r="U476" s="95">
        <f t="shared" si="187"/>
        <v>0</v>
      </c>
      <c r="V476" s="95">
        <f t="shared" si="187"/>
        <v>0.49</v>
      </c>
      <c r="W476" s="95">
        <f t="shared" si="187"/>
        <v>0.49</v>
      </c>
      <c r="X476" s="283"/>
    </row>
    <row r="477" spans="1:24" s="8" customFormat="1" outlineLevel="2">
      <c r="A477" s="416">
        <f>D$52</f>
        <v>1</v>
      </c>
      <c r="B477" s="416">
        <f>B$52</f>
        <v>0.78</v>
      </c>
      <c r="C477" s="411">
        <f>IF(C$473&gt;$A477,$A477-$A476,C$473-SUM(C476:C$476))</f>
        <v>0</v>
      </c>
      <c r="D477" s="416">
        <f>IF(D$473&gt;$A477,$A477-$A476,D$473-SUM(D476:D$476))</f>
        <v>0</v>
      </c>
      <c r="E477" s="416">
        <f>IF(E$473&gt;$A477,$A477-$A476,E$473-SUM(E476:E$476))</f>
        <v>0</v>
      </c>
      <c r="F477" s="416">
        <f>IF(F$473&gt;$A477,$A477-$A476,F$473-SUM(F476:F$476))</f>
        <v>0</v>
      </c>
      <c r="G477" s="416">
        <f>IF(G$473&gt;$A477,$A477-$A476,G$473-SUM(G476:G$476))</f>
        <v>0</v>
      </c>
      <c r="H477" s="416">
        <f>IF(H$473&gt;$A477,$A477-$A476,H$473-SUM(H476:H$476))</f>
        <v>0</v>
      </c>
      <c r="I477" s="416">
        <f>IF(I$473&gt;$A477,$A477-$A476,I$473-SUM(I476:I$476))</f>
        <v>0</v>
      </c>
      <c r="J477" s="416">
        <f>IF(J$473&gt;$A477,$A477-$A476,J$473-SUM(J476:J$476))</f>
        <v>0</v>
      </c>
      <c r="K477" s="416">
        <f>IF(K$473&gt;$A477,$A477-$A476,K$473-SUM(K476:K$476))</f>
        <v>0.5</v>
      </c>
      <c r="L477" s="416">
        <f>IF(L$473&gt;$A477,$A477-$A476,L$473-SUM(L476:L$476))</f>
        <v>0.5</v>
      </c>
      <c r="M477" s="283"/>
      <c r="N477" s="405">
        <f t="shared" si="187"/>
        <v>0</v>
      </c>
      <c r="O477" s="95">
        <f t="shared" si="187"/>
        <v>0</v>
      </c>
      <c r="P477" s="95">
        <f t="shared" si="187"/>
        <v>0</v>
      </c>
      <c r="Q477" s="95">
        <f t="shared" si="187"/>
        <v>0</v>
      </c>
      <c r="R477" s="95">
        <f t="shared" si="187"/>
        <v>0</v>
      </c>
      <c r="S477" s="95">
        <f t="shared" si="187"/>
        <v>0</v>
      </c>
      <c r="T477" s="95">
        <f t="shared" si="187"/>
        <v>0</v>
      </c>
      <c r="U477" s="95">
        <f t="shared" si="187"/>
        <v>0</v>
      </c>
      <c r="V477" s="95">
        <f t="shared" si="187"/>
        <v>0.39</v>
      </c>
      <c r="W477" s="95">
        <f t="shared" si="187"/>
        <v>0.39</v>
      </c>
      <c r="X477" s="283"/>
    </row>
    <row r="478" spans="1:24" s="8" customFormat="1" outlineLevel="2">
      <c r="A478" s="416">
        <f>D$53</f>
        <v>2</v>
      </c>
      <c r="B478" s="416">
        <f>B$53</f>
        <v>0.68</v>
      </c>
      <c r="C478" s="411">
        <f>IF(C$473&gt;$A478,$A478-$A477,C$473-SUM(C$476:C477))</f>
        <v>0</v>
      </c>
      <c r="D478" s="416">
        <f>IF(D$473&gt;$A478,$A478-$A477,D$473-SUM(D$476:D477))</f>
        <v>0</v>
      </c>
      <c r="E478" s="416">
        <f>IF(E$473&gt;$A478,$A478-$A477,E$473-SUM(E$476:E477))</f>
        <v>0</v>
      </c>
      <c r="F478" s="416">
        <f>IF(F$473&gt;$A478,$A478-$A477,F$473-SUM(F$476:F477))</f>
        <v>0</v>
      </c>
      <c r="G478" s="416">
        <f>IF(G$473&gt;$A478,$A478-$A477,G$473-SUM(G$476:G477))</f>
        <v>0</v>
      </c>
      <c r="H478" s="416">
        <f>IF(H$473&gt;$A478,$A478-$A477,H$473-SUM(H$476:H477))</f>
        <v>0</v>
      </c>
      <c r="I478" s="416">
        <f>IF(I$473&gt;$A478,$A478-$A477,I$473-SUM(I$476:I477))</f>
        <v>0</v>
      </c>
      <c r="J478" s="416">
        <f>IF(J$473&gt;$A478,$A478-$A477,J$473-SUM(J$476:J477))</f>
        <v>0</v>
      </c>
      <c r="K478" s="416">
        <f>IF(K$473&gt;$A478,$A478-$A477,K$473-SUM(K$476:K477))</f>
        <v>1</v>
      </c>
      <c r="L478" s="416">
        <f>IF(L$473&gt;$A478,$A478-$A477,L$473-SUM(L$476:L477))</f>
        <v>1</v>
      </c>
      <c r="M478" s="283"/>
      <c r="N478" s="405">
        <f t="shared" si="187"/>
        <v>0</v>
      </c>
      <c r="O478" s="95">
        <f t="shared" si="187"/>
        <v>0</v>
      </c>
      <c r="P478" s="95">
        <f t="shared" si="187"/>
        <v>0</v>
      </c>
      <c r="Q478" s="95">
        <f t="shared" si="187"/>
        <v>0</v>
      </c>
      <c r="R478" s="95">
        <f t="shared" si="187"/>
        <v>0</v>
      </c>
      <c r="S478" s="95">
        <f t="shared" si="187"/>
        <v>0</v>
      </c>
      <c r="T478" s="95">
        <f t="shared" si="187"/>
        <v>0</v>
      </c>
      <c r="U478" s="95">
        <f t="shared" si="187"/>
        <v>0</v>
      </c>
      <c r="V478" s="95">
        <f t="shared" si="187"/>
        <v>0.68</v>
      </c>
      <c r="W478" s="95">
        <f t="shared" si="187"/>
        <v>0.68</v>
      </c>
      <c r="X478" s="283"/>
    </row>
    <row r="479" spans="1:24" s="8" customFormat="1" outlineLevel="2">
      <c r="A479" s="416">
        <f>D$54</f>
        <v>5</v>
      </c>
      <c r="B479" s="416">
        <f>B$54</f>
        <v>0.45</v>
      </c>
      <c r="C479" s="411">
        <f>IF(C$473&gt;$A479,$A479-$A478,C$473-SUM(C$476:C478))</f>
        <v>0</v>
      </c>
      <c r="D479" s="416">
        <f>IF(D$473&gt;$A479,$A479-$A478,D$473-SUM(D$476:D478))</f>
        <v>0</v>
      </c>
      <c r="E479" s="416">
        <f>IF(E$473&gt;$A479,$A479-$A478,E$473-SUM(E$476:E478))</f>
        <v>0</v>
      </c>
      <c r="F479" s="416">
        <f>IF(F$473&gt;$A479,$A479-$A478,F$473-SUM(F$476:F478))</f>
        <v>0</v>
      </c>
      <c r="G479" s="416">
        <f>IF(G$473&gt;$A479,$A479-$A478,G$473-SUM(G$476:G478))</f>
        <v>0</v>
      </c>
      <c r="H479" s="416">
        <f>IF(H$473&gt;$A479,$A479-$A478,H$473-SUM(H$476:H478))</f>
        <v>0</v>
      </c>
      <c r="I479" s="416">
        <f>IF(I$473&gt;$A479,$A479-$A478,I$473-SUM(I$476:I478))</f>
        <v>0</v>
      </c>
      <c r="J479" s="416">
        <f>IF(J$473&gt;$A479,$A479-$A478,J$473-SUM(J$476:J478))</f>
        <v>0</v>
      </c>
      <c r="K479" s="416">
        <f>IF(K$473&gt;$A479,$A479-$A478,K$473-SUM(K$476:K478))</f>
        <v>3</v>
      </c>
      <c r="L479" s="416">
        <f>IF(L$473&gt;$A479,$A479-$A478,L$473-SUM(L$476:L478))</f>
        <v>3</v>
      </c>
      <c r="M479" s="283"/>
      <c r="N479" s="405">
        <f t="shared" si="187"/>
        <v>0</v>
      </c>
      <c r="O479" s="95">
        <f t="shared" si="187"/>
        <v>0</v>
      </c>
      <c r="P479" s="95">
        <f t="shared" si="187"/>
        <v>0</v>
      </c>
      <c r="Q479" s="95">
        <f t="shared" si="187"/>
        <v>0</v>
      </c>
      <c r="R479" s="95">
        <f t="shared" si="187"/>
        <v>0</v>
      </c>
      <c r="S479" s="95">
        <f t="shared" si="187"/>
        <v>0</v>
      </c>
      <c r="T479" s="95">
        <f t="shared" si="187"/>
        <v>0</v>
      </c>
      <c r="U479" s="95">
        <f t="shared" si="187"/>
        <v>0</v>
      </c>
      <c r="V479" s="95">
        <f t="shared" si="187"/>
        <v>1.35</v>
      </c>
      <c r="W479" s="95">
        <f t="shared" si="187"/>
        <v>1.35</v>
      </c>
      <c r="X479" s="283"/>
    </row>
    <row r="480" spans="1:24" s="8" customFormat="1" outlineLevel="2">
      <c r="A480" s="416">
        <f>D$55</f>
        <v>10</v>
      </c>
      <c r="B480" s="416">
        <f>B$55</f>
        <v>0.42</v>
      </c>
      <c r="C480" s="411">
        <f>IF(C$473&gt;$A480,$A480-$A479,C$473-SUM(C$476:C479))</f>
        <v>0</v>
      </c>
      <c r="D480" s="416">
        <f>IF(D$473&gt;$A480,$A480-$A479,D$473-SUM(D$476:D479))</f>
        <v>0</v>
      </c>
      <c r="E480" s="416">
        <f>IF(E$473&gt;$A480,$A480-$A479,E$473-SUM(E$476:E479))</f>
        <v>0</v>
      </c>
      <c r="F480" s="416">
        <f>IF(F$473&gt;$A480,$A480-$A479,F$473-SUM(F$476:F479))</f>
        <v>0</v>
      </c>
      <c r="G480" s="416">
        <f>IF(G$473&gt;$A480,$A480-$A479,G$473-SUM(G$476:G479))</f>
        <v>0</v>
      </c>
      <c r="H480" s="416">
        <f>IF(H$473&gt;$A480,$A480-$A479,H$473-SUM(H$476:H479))</f>
        <v>0</v>
      </c>
      <c r="I480" s="416">
        <f>IF(I$473&gt;$A480,$A480-$A479,I$473-SUM(I$476:I479))</f>
        <v>0</v>
      </c>
      <c r="J480" s="416">
        <f>IF(J$473&gt;$A480,$A480-$A479,J$473-SUM(J$476:J479))</f>
        <v>0</v>
      </c>
      <c r="K480" s="416">
        <f>IF(K$473&gt;$A480,$A480-$A479,K$473-SUM(K$476:K479))</f>
        <v>5</v>
      </c>
      <c r="L480" s="416">
        <f>IF(L$473&gt;$A480,$A480-$A479,L$473-SUM(L$476:L479))</f>
        <v>5</v>
      </c>
      <c r="M480" s="283"/>
      <c r="N480" s="405">
        <f t="shared" si="187"/>
        <v>0</v>
      </c>
      <c r="O480" s="95">
        <f t="shared" si="187"/>
        <v>0</v>
      </c>
      <c r="P480" s="95">
        <f t="shared" si="187"/>
        <v>0</v>
      </c>
      <c r="Q480" s="95">
        <f t="shared" si="187"/>
        <v>0</v>
      </c>
      <c r="R480" s="95">
        <f t="shared" si="187"/>
        <v>0</v>
      </c>
      <c r="S480" s="95">
        <f t="shared" si="187"/>
        <v>0</v>
      </c>
      <c r="T480" s="95">
        <f t="shared" si="187"/>
        <v>0</v>
      </c>
      <c r="U480" s="95">
        <f t="shared" si="187"/>
        <v>0</v>
      </c>
      <c r="V480" s="95">
        <f t="shared" si="187"/>
        <v>2.1</v>
      </c>
      <c r="W480" s="95">
        <f t="shared" si="187"/>
        <v>2.1</v>
      </c>
      <c r="X480" s="283"/>
    </row>
    <row r="481" spans="1:24" s="8" customFormat="1" outlineLevel="2">
      <c r="A481" s="416">
        <f>D$56</f>
        <v>20</v>
      </c>
      <c r="B481" s="416">
        <f>B$56</f>
        <v>0.22</v>
      </c>
      <c r="C481" s="411">
        <f>IF(C$473&gt;$A481,$A481-$A480,C$473-SUM(C$476:C480))</f>
        <v>0</v>
      </c>
      <c r="D481" s="416">
        <f>IF(D$473&gt;$A481,$A481-$A480,D$473-SUM(D$476:D480))</f>
        <v>0</v>
      </c>
      <c r="E481" s="416">
        <f>IF(E$473&gt;$A481,$A481-$A480,E$473-SUM(E$476:E480))</f>
        <v>0</v>
      </c>
      <c r="F481" s="416">
        <f>IF(F$473&gt;$A481,$A481-$A480,F$473-SUM(F$476:F480))</f>
        <v>0</v>
      </c>
      <c r="G481" s="416">
        <f>IF(G$473&gt;$A481,$A481-$A480,G$473-SUM(G$476:G480))</f>
        <v>0</v>
      </c>
      <c r="H481" s="416">
        <f>IF(H$473&gt;$A481,$A481-$A480,H$473-SUM(H$476:H480))</f>
        <v>0</v>
      </c>
      <c r="I481" s="416">
        <f>IF(I$473&gt;$A481,$A481-$A480,I$473-SUM(I$476:I480))</f>
        <v>0</v>
      </c>
      <c r="J481" s="416">
        <f>IF(J$473&gt;$A481,$A481-$A480,J$473-SUM(J$476:J480))</f>
        <v>0</v>
      </c>
      <c r="K481" s="416">
        <f>IF(K$473&gt;$A481,$A481-$A480,K$473-SUM(K$476:K480))</f>
        <v>10</v>
      </c>
      <c r="L481" s="416">
        <f>IF(L$473&gt;$A481,$A481-$A480,L$473-SUM(L$476:L480))</f>
        <v>10</v>
      </c>
      <c r="M481" s="283"/>
      <c r="N481" s="405">
        <f t="shared" si="187"/>
        <v>0</v>
      </c>
      <c r="O481" s="95">
        <f t="shared" si="187"/>
        <v>0</v>
      </c>
      <c r="P481" s="95">
        <f t="shared" si="187"/>
        <v>0</v>
      </c>
      <c r="Q481" s="95">
        <f t="shared" si="187"/>
        <v>0</v>
      </c>
      <c r="R481" s="95">
        <f t="shared" si="187"/>
        <v>0</v>
      </c>
      <c r="S481" s="95">
        <f t="shared" si="187"/>
        <v>0</v>
      </c>
      <c r="T481" s="95">
        <f t="shared" si="187"/>
        <v>0</v>
      </c>
      <c r="U481" s="95">
        <f t="shared" si="187"/>
        <v>0</v>
      </c>
      <c r="V481" s="95">
        <f t="shared" si="187"/>
        <v>2.2000000000000002</v>
      </c>
      <c r="W481" s="95">
        <f t="shared" si="187"/>
        <v>2.2000000000000002</v>
      </c>
      <c r="X481" s="283"/>
    </row>
    <row r="482" spans="1:24" s="8" customFormat="1" outlineLevel="2">
      <c r="A482" s="416">
        <f>D$57</f>
        <v>50</v>
      </c>
      <c r="B482" s="416">
        <f>B$57</f>
        <v>0.2</v>
      </c>
      <c r="C482" s="411">
        <f>IF(C$473&gt;$A482,$A482-$A481,C$473-SUM(C$476:C481))</f>
        <v>0</v>
      </c>
      <c r="D482" s="416">
        <f>IF(D$473&gt;$A482,$A482-$A481,D$473-SUM(D$476:D481))</f>
        <v>0</v>
      </c>
      <c r="E482" s="416">
        <f>IF(E$473&gt;$A482,$A482-$A481,E$473-SUM(E$476:E481))</f>
        <v>0</v>
      </c>
      <c r="F482" s="416">
        <f>IF(F$473&gt;$A482,$A482-$A481,F$473-SUM(F$476:F481))</f>
        <v>0</v>
      </c>
      <c r="G482" s="416">
        <f>IF(G$473&gt;$A482,$A482-$A481,G$473-SUM(G$476:G481))</f>
        <v>0</v>
      </c>
      <c r="H482" s="416">
        <f>IF(H$473&gt;$A482,$A482-$A481,H$473-SUM(H$476:H481))</f>
        <v>0</v>
      </c>
      <c r="I482" s="416">
        <f>IF(I$473&gt;$A482,$A482-$A481,I$473-SUM(I$476:I481))</f>
        <v>0</v>
      </c>
      <c r="J482" s="416">
        <f>IF(J$473&gt;$A482,$A482-$A481,J$473-SUM(J$476:J481))</f>
        <v>0</v>
      </c>
      <c r="K482" s="416">
        <f>IF(K$473&gt;$A482,$A482-$A481,K$473-SUM(K$476:K481))</f>
        <v>22.799999999999997</v>
      </c>
      <c r="L482" s="416">
        <f>IF(L$473&gt;$A482,$A482-$A481,L$473-SUM(L$476:L481))</f>
        <v>30</v>
      </c>
      <c r="M482" s="283"/>
      <c r="N482" s="405">
        <f t="shared" si="187"/>
        <v>0</v>
      </c>
      <c r="O482" s="95">
        <f t="shared" si="187"/>
        <v>0</v>
      </c>
      <c r="P482" s="95">
        <f t="shared" si="187"/>
        <v>0</v>
      </c>
      <c r="Q482" s="95">
        <f t="shared" si="187"/>
        <v>0</v>
      </c>
      <c r="R482" s="95">
        <f t="shared" si="187"/>
        <v>0</v>
      </c>
      <c r="S482" s="95">
        <f t="shared" si="187"/>
        <v>0</v>
      </c>
      <c r="T482" s="95">
        <f t="shared" si="187"/>
        <v>0</v>
      </c>
      <c r="U482" s="95">
        <f t="shared" si="187"/>
        <v>0</v>
      </c>
      <c r="V482" s="95">
        <f t="shared" si="187"/>
        <v>4.5599999999999996</v>
      </c>
      <c r="W482" s="95">
        <f t="shared" si="187"/>
        <v>6</v>
      </c>
      <c r="X482" s="283"/>
    </row>
    <row r="483" spans="1:24" s="8" customFormat="1" outlineLevel="2">
      <c r="A483" s="416">
        <f>D$58</f>
        <v>75</v>
      </c>
      <c r="B483" s="416">
        <f>B$58</f>
        <v>0.15</v>
      </c>
      <c r="C483" s="411">
        <f>IF(C$473&gt;$A483,$A483-$A482,C$473-SUM(C$476:C482))</f>
        <v>0</v>
      </c>
      <c r="D483" s="416">
        <f>IF(D$473&gt;$A483,$A483-$A482,D$473-SUM(D$476:D482))</f>
        <v>0</v>
      </c>
      <c r="E483" s="416">
        <f>IF(E$473&gt;$A483,$A483-$A482,E$473-SUM(E$476:E482))</f>
        <v>0</v>
      </c>
      <c r="F483" s="416">
        <f>IF(F$473&gt;$A483,$A483-$A482,F$473-SUM(F$476:F482))</f>
        <v>0</v>
      </c>
      <c r="G483" s="416">
        <f>IF(G$473&gt;$A483,$A483-$A482,G$473-SUM(G$476:G482))</f>
        <v>0</v>
      </c>
      <c r="H483" s="416">
        <f>IF(H$473&gt;$A483,$A483-$A482,H$473-SUM(H$476:H482))</f>
        <v>0</v>
      </c>
      <c r="I483" s="416">
        <f>IF(I$473&gt;$A483,$A483-$A482,I$473-SUM(I$476:I482))</f>
        <v>0</v>
      </c>
      <c r="J483" s="416">
        <f>IF(J$473&gt;$A483,$A483-$A482,J$473-SUM(J$476:J482))</f>
        <v>0</v>
      </c>
      <c r="K483" s="416">
        <f>IF(K$473&gt;$A483,$A483-$A482,K$473-SUM(K$476:K482))</f>
        <v>0</v>
      </c>
      <c r="L483" s="416">
        <f>IF(L$473&gt;$A483,$A483-$A482,L$473-SUM(L$476:L482))</f>
        <v>25</v>
      </c>
      <c r="M483" s="283"/>
      <c r="N483" s="405">
        <f t="shared" si="187"/>
        <v>0</v>
      </c>
      <c r="O483" s="95">
        <f t="shared" si="187"/>
        <v>0</v>
      </c>
      <c r="P483" s="95">
        <f t="shared" si="187"/>
        <v>0</v>
      </c>
      <c r="Q483" s="95">
        <f t="shared" si="187"/>
        <v>0</v>
      </c>
      <c r="R483" s="95">
        <f t="shared" si="187"/>
        <v>0</v>
      </c>
      <c r="S483" s="95">
        <f t="shared" si="187"/>
        <v>0</v>
      </c>
      <c r="T483" s="95">
        <f t="shared" si="187"/>
        <v>0</v>
      </c>
      <c r="U483" s="95">
        <f t="shared" si="187"/>
        <v>0</v>
      </c>
      <c r="V483" s="95">
        <f t="shared" si="187"/>
        <v>0</v>
      </c>
      <c r="W483" s="95">
        <f t="shared" si="187"/>
        <v>3.75</v>
      </c>
      <c r="X483" s="283"/>
    </row>
    <row r="484" spans="1:24" s="8" customFormat="1" outlineLevel="2">
      <c r="A484" s="416">
        <f>D$59</f>
        <v>9999</v>
      </c>
      <c r="B484" s="416">
        <f>B$59</f>
        <v>0.1</v>
      </c>
      <c r="C484" s="411">
        <f>IF(C$473&gt;$A484,$A484-$A483,C$473-SUM(C$476:C483))</f>
        <v>0</v>
      </c>
      <c r="D484" s="416">
        <f>IF(D$473&gt;$A484,$A484-$A483,D$473-SUM(D$476:D483))</f>
        <v>0</v>
      </c>
      <c r="E484" s="416">
        <f>IF(E$473&gt;$A484,$A484-$A483,E$473-SUM(E$476:E483))</f>
        <v>0</v>
      </c>
      <c r="F484" s="416">
        <f>IF(F$473&gt;$A484,$A484-$A483,F$473-SUM(F$476:F483))</f>
        <v>0</v>
      </c>
      <c r="G484" s="416">
        <f>IF(G$473&gt;$A484,$A484-$A483,G$473-SUM(G$476:G483))</f>
        <v>0</v>
      </c>
      <c r="H484" s="416">
        <f>IF(H$473&gt;$A484,$A484-$A483,H$473-SUM(H$476:H483))</f>
        <v>0</v>
      </c>
      <c r="I484" s="416">
        <f>IF(I$473&gt;$A484,$A484-$A483,I$473-SUM(I$476:I483))</f>
        <v>0</v>
      </c>
      <c r="J484" s="416">
        <f>IF(J$473&gt;$A484,$A484-$A483,J$473-SUM(J$476:J483))</f>
        <v>0</v>
      </c>
      <c r="K484" s="416">
        <f>IF(K$473&gt;$A484,$A484-$A483,K$473-SUM(K$476:K483))</f>
        <v>0</v>
      </c>
      <c r="L484" s="416">
        <f>IF(L$473&gt;$A484,$A484-$A483,L$473-SUM(L$476:L483))</f>
        <v>21.400000000000006</v>
      </c>
      <c r="M484" s="283"/>
      <c r="N484" s="405">
        <f t="shared" si="187"/>
        <v>0</v>
      </c>
      <c r="O484" s="95">
        <f t="shared" si="187"/>
        <v>0</v>
      </c>
      <c r="P484" s="95">
        <f t="shared" si="187"/>
        <v>0</v>
      </c>
      <c r="Q484" s="95">
        <f t="shared" si="187"/>
        <v>0</v>
      </c>
      <c r="R484" s="95">
        <f t="shared" si="187"/>
        <v>0</v>
      </c>
      <c r="S484" s="95">
        <f t="shared" si="187"/>
        <v>0</v>
      </c>
      <c r="T484" s="95">
        <f t="shared" si="187"/>
        <v>0</v>
      </c>
      <c r="U484" s="95">
        <f t="shared" si="187"/>
        <v>0</v>
      </c>
      <c r="V484" s="95">
        <f t="shared" si="187"/>
        <v>0</v>
      </c>
      <c r="W484" s="95">
        <f t="shared" si="187"/>
        <v>2.1400000000000006</v>
      </c>
      <c r="X484" s="283"/>
    </row>
    <row r="485" spans="1:24" s="8" customFormat="1" outlineLevel="1">
      <c r="A485" s="404"/>
      <c r="B485" s="417" t="str">
        <f>CONCATENATE(B472," Total")</f>
        <v>Oppo Total</v>
      </c>
      <c r="C485" s="418">
        <f>SUM(C476:C484)</f>
        <v>0</v>
      </c>
      <c r="D485" s="419">
        <f t="shared" ref="D485:L485" si="188">SUM(D476:D484)</f>
        <v>0</v>
      </c>
      <c r="E485" s="419">
        <f t="shared" si="188"/>
        <v>0</v>
      </c>
      <c r="F485" s="419">
        <f t="shared" si="188"/>
        <v>0</v>
      </c>
      <c r="G485" s="419">
        <f t="shared" si="188"/>
        <v>0</v>
      </c>
      <c r="H485" s="419">
        <f t="shared" si="188"/>
        <v>0</v>
      </c>
      <c r="I485" s="419">
        <f t="shared" si="188"/>
        <v>0</v>
      </c>
      <c r="J485" s="419">
        <f t="shared" si="188"/>
        <v>0</v>
      </c>
      <c r="K485" s="419">
        <f t="shared" si="188"/>
        <v>42.8</v>
      </c>
      <c r="L485" s="419">
        <f t="shared" si="188"/>
        <v>96.4</v>
      </c>
      <c r="M485" s="283"/>
      <c r="N485" s="420">
        <f>SUM(N476:N484)</f>
        <v>0</v>
      </c>
      <c r="O485" s="420">
        <f t="shared" ref="O485:W485" si="189">SUM(O476:O484)</f>
        <v>0</v>
      </c>
      <c r="P485" s="420">
        <f t="shared" si="189"/>
        <v>0</v>
      </c>
      <c r="Q485" s="420">
        <f t="shared" si="189"/>
        <v>0</v>
      </c>
      <c r="R485" s="420">
        <f t="shared" si="189"/>
        <v>0</v>
      </c>
      <c r="S485" s="420">
        <f t="shared" si="189"/>
        <v>0</v>
      </c>
      <c r="T485" s="420">
        <f t="shared" si="189"/>
        <v>0</v>
      </c>
      <c r="U485" s="420">
        <f t="shared" si="189"/>
        <v>0</v>
      </c>
      <c r="V485" s="420">
        <f t="shared" si="189"/>
        <v>11.77</v>
      </c>
      <c r="W485" s="420">
        <f t="shared" si="189"/>
        <v>19.100000000000001</v>
      </c>
      <c r="X485" s="283"/>
    </row>
    <row r="486" spans="1:24" s="8" customFormat="1" outlineLevel="1">
      <c r="B486" s="421" t="s">
        <v>778</v>
      </c>
      <c r="C486" s="422">
        <f t="shared" ref="C486:L486" si="190">C485-C473</f>
        <v>0</v>
      </c>
      <c r="D486" s="423">
        <f t="shared" si="190"/>
        <v>0</v>
      </c>
      <c r="E486" s="423">
        <f t="shared" si="190"/>
        <v>0</v>
      </c>
      <c r="F486" s="423">
        <f t="shared" si="190"/>
        <v>0</v>
      </c>
      <c r="G486" s="423">
        <f t="shared" si="190"/>
        <v>0</v>
      </c>
      <c r="H486" s="423">
        <f t="shared" si="190"/>
        <v>0</v>
      </c>
      <c r="I486" s="423">
        <f t="shared" si="190"/>
        <v>0</v>
      </c>
      <c r="J486" s="423">
        <f t="shared" si="190"/>
        <v>0</v>
      </c>
      <c r="K486" s="423">
        <f t="shared" si="190"/>
        <v>0</v>
      </c>
      <c r="L486" s="423">
        <f t="shared" si="190"/>
        <v>0</v>
      </c>
      <c r="M486" s="283"/>
      <c r="N486" s="283"/>
      <c r="O486" s="283"/>
      <c r="P486" s="283"/>
      <c r="Q486" s="283"/>
      <c r="R486" s="283"/>
      <c r="S486" s="283"/>
      <c r="T486" s="283"/>
      <c r="U486" s="283"/>
      <c r="V486" s="283"/>
      <c r="W486" s="283"/>
      <c r="X486" s="283"/>
    </row>
    <row r="487" spans="1:24" s="8" customFormat="1" outlineLevel="1">
      <c r="C487" s="283"/>
      <c r="M487" s="283"/>
      <c r="X487" s="283"/>
    </row>
    <row r="488" spans="1:24" s="8" customFormat="1" outlineLevel="1" collapsed="1">
      <c r="A488" s="8">
        <f>A472+1</f>
        <v>20</v>
      </c>
      <c r="B488" s="424" t="str">
        <f>A159</f>
        <v>Palm</v>
      </c>
      <c r="C488" s="80">
        <v>2007</v>
      </c>
      <c r="D488" s="66">
        <f>C488+1</f>
        <v>2008</v>
      </c>
      <c r="E488" s="66">
        <f t="shared" ref="E488:L488" si="191">D488+1</f>
        <v>2009</v>
      </c>
      <c r="F488" s="66">
        <f t="shared" si="191"/>
        <v>2010</v>
      </c>
      <c r="G488" s="66">
        <f t="shared" si="191"/>
        <v>2011</v>
      </c>
      <c r="H488" s="66">
        <f t="shared" si="191"/>
        <v>2012</v>
      </c>
      <c r="I488" s="66">
        <f t="shared" si="191"/>
        <v>2013</v>
      </c>
      <c r="J488" s="66">
        <f t="shared" si="191"/>
        <v>2014</v>
      </c>
      <c r="K488" s="66">
        <f t="shared" si="191"/>
        <v>2015</v>
      </c>
      <c r="L488" s="66">
        <f t="shared" si="191"/>
        <v>2016</v>
      </c>
      <c r="M488" s="283"/>
      <c r="N488" s="168">
        <f t="shared" ref="N488:W488" si="192">C488</f>
        <v>2007</v>
      </c>
      <c r="O488" s="66">
        <f t="shared" si="192"/>
        <v>2008</v>
      </c>
      <c r="P488" s="66">
        <f t="shared" si="192"/>
        <v>2009</v>
      </c>
      <c r="Q488" s="66">
        <f t="shared" si="192"/>
        <v>2010</v>
      </c>
      <c r="R488" s="66">
        <f t="shared" si="192"/>
        <v>2011</v>
      </c>
      <c r="S488" s="66">
        <f t="shared" si="192"/>
        <v>2012</v>
      </c>
      <c r="T488" s="66">
        <f t="shared" si="192"/>
        <v>2013</v>
      </c>
      <c r="U488" s="66">
        <f t="shared" si="192"/>
        <v>2014</v>
      </c>
      <c r="V488" s="66">
        <f t="shared" si="192"/>
        <v>2015</v>
      </c>
      <c r="W488" s="66">
        <f t="shared" si="192"/>
        <v>2016</v>
      </c>
      <c r="X488" s="283"/>
    </row>
    <row r="489" spans="1:24" s="8" customFormat="1" outlineLevel="2">
      <c r="B489" s="8" t="s">
        <v>1348</v>
      </c>
      <c r="C489" s="411">
        <f t="shared" ref="C489:L489" si="193">VLOOKUP($B488,$A$140:$K$175,C$183+1,FALSE)</f>
        <v>3.0220000000000002</v>
      </c>
      <c r="D489" s="412">
        <f t="shared" si="193"/>
        <v>3.5</v>
      </c>
      <c r="E489" s="412">
        <f t="shared" si="193"/>
        <v>2.2309999999999999</v>
      </c>
      <c r="F489" s="412">
        <f t="shared" si="193"/>
        <v>1.4100000000000001</v>
      </c>
      <c r="G489" s="412">
        <f t="shared" si="193"/>
        <v>0.2</v>
      </c>
      <c r="H489" s="412">
        <f t="shared" si="193"/>
        <v>0</v>
      </c>
      <c r="I489" s="412">
        <f t="shared" si="193"/>
        <v>0</v>
      </c>
      <c r="J489" s="412">
        <f t="shared" si="193"/>
        <v>0</v>
      </c>
      <c r="K489" s="412">
        <f t="shared" si="193"/>
        <v>0</v>
      </c>
      <c r="L489" s="412">
        <f t="shared" si="193"/>
        <v>0</v>
      </c>
      <c r="M489" s="283"/>
      <c r="N489" s="283"/>
      <c r="X489" s="283"/>
    </row>
    <row r="490" spans="1:24" s="8" customFormat="1" outlineLevel="2">
      <c r="C490" s="413"/>
      <c r="D490" s="414"/>
      <c r="E490" s="414"/>
      <c r="F490" s="414"/>
      <c r="G490" s="414"/>
      <c r="H490" s="414"/>
      <c r="I490" s="414"/>
      <c r="J490" s="414"/>
      <c r="K490" s="414"/>
      <c r="L490" s="414"/>
      <c r="M490" s="283"/>
      <c r="N490" s="283"/>
      <c r="X490" s="283"/>
    </row>
    <row r="491" spans="1:24" s="8" customFormat="1" outlineLevel="2">
      <c r="A491" s="66" t="s">
        <v>1349</v>
      </c>
      <c r="B491" s="66" t="s">
        <v>1350</v>
      </c>
      <c r="C491" s="415"/>
      <c r="F491" s="9"/>
      <c r="M491" s="283"/>
      <c r="N491" s="283"/>
      <c r="X491" s="283"/>
    </row>
    <row r="492" spans="1:24" s="8" customFormat="1" outlineLevel="2">
      <c r="A492" s="416">
        <f>D$51</f>
        <v>0.5</v>
      </c>
      <c r="B492" s="416">
        <f>B$51</f>
        <v>0.98</v>
      </c>
      <c r="C492" s="411">
        <f>IF(C$489&gt;$A492,$A492,C$489)</f>
        <v>0.5</v>
      </c>
      <c r="D492" s="416">
        <f t="shared" ref="D492:L492" si="194">IF(D$489&gt;$A492,$A492,D$489)</f>
        <v>0.5</v>
      </c>
      <c r="E492" s="416">
        <f t="shared" si="194"/>
        <v>0.5</v>
      </c>
      <c r="F492" s="416">
        <f t="shared" si="194"/>
        <v>0.5</v>
      </c>
      <c r="G492" s="416">
        <f t="shared" si="194"/>
        <v>0.2</v>
      </c>
      <c r="H492" s="416">
        <f t="shared" si="194"/>
        <v>0</v>
      </c>
      <c r="I492" s="416">
        <f t="shared" si="194"/>
        <v>0</v>
      </c>
      <c r="J492" s="416">
        <f t="shared" si="194"/>
        <v>0</v>
      </c>
      <c r="K492" s="416">
        <f t="shared" si="194"/>
        <v>0</v>
      </c>
      <c r="L492" s="416">
        <f t="shared" si="194"/>
        <v>0</v>
      </c>
      <c r="M492" s="283"/>
      <c r="N492" s="405">
        <f t="shared" ref="N492:W500" si="195">C492*$B492</f>
        <v>0.49</v>
      </c>
      <c r="O492" s="95">
        <f t="shared" si="195"/>
        <v>0.49</v>
      </c>
      <c r="P492" s="95">
        <f t="shared" si="195"/>
        <v>0.49</v>
      </c>
      <c r="Q492" s="95">
        <f t="shared" si="195"/>
        <v>0.49</v>
      </c>
      <c r="R492" s="95">
        <f t="shared" si="195"/>
        <v>0.19600000000000001</v>
      </c>
      <c r="S492" s="95">
        <f t="shared" si="195"/>
        <v>0</v>
      </c>
      <c r="T492" s="95">
        <f t="shared" si="195"/>
        <v>0</v>
      </c>
      <c r="U492" s="95">
        <f t="shared" si="195"/>
        <v>0</v>
      </c>
      <c r="V492" s="95">
        <f t="shared" si="195"/>
        <v>0</v>
      </c>
      <c r="W492" s="95">
        <f t="shared" si="195"/>
        <v>0</v>
      </c>
      <c r="X492" s="283"/>
    </row>
    <row r="493" spans="1:24" s="8" customFormat="1" outlineLevel="2">
      <c r="A493" s="416">
        <f>D$52</f>
        <v>1</v>
      </c>
      <c r="B493" s="416">
        <f>B$52</f>
        <v>0.78</v>
      </c>
      <c r="C493" s="411">
        <f>IF(C$489&gt;$A493,$A493-$A492,C$489-SUM(C492:C$492))</f>
        <v>0.5</v>
      </c>
      <c r="D493" s="416">
        <f>IF(D$489&gt;$A493,$A493-$A492,D$489-SUM(D492:D$492))</f>
        <v>0.5</v>
      </c>
      <c r="E493" s="416">
        <f>IF(E$489&gt;$A493,$A493-$A492,E$489-SUM(E492:E$492))</f>
        <v>0.5</v>
      </c>
      <c r="F493" s="416">
        <f>IF(F$489&gt;$A493,$A493-$A492,F$489-SUM(F492:F$492))</f>
        <v>0.5</v>
      </c>
      <c r="G493" s="416">
        <f>IF(G$489&gt;$A493,$A493-$A492,G$489-SUM(G492:G$492))</f>
        <v>0</v>
      </c>
      <c r="H493" s="416">
        <f>IF(H$489&gt;$A493,$A493-$A492,H$489-SUM(H492:H$492))</f>
        <v>0</v>
      </c>
      <c r="I493" s="416">
        <f>IF(I$489&gt;$A493,$A493-$A492,I$489-SUM(I492:I$492))</f>
        <v>0</v>
      </c>
      <c r="J493" s="416">
        <f>IF(J$489&gt;$A493,$A493-$A492,J$489-SUM(J492:J$492))</f>
        <v>0</v>
      </c>
      <c r="K493" s="416">
        <f>IF(K$489&gt;$A493,$A493-$A492,K$489-SUM(K492:K$492))</f>
        <v>0</v>
      </c>
      <c r="L493" s="416">
        <f>IF(L$489&gt;$A493,$A493-$A492,L$489-SUM(L492:L$492))</f>
        <v>0</v>
      </c>
      <c r="M493" s="283"/>
      <c r="N493" s="405">
        <f t="shared" si="195"/>
        <v>0.39</v>
      </c>
      <c r="O493" s="95">
        <f t="shared" si="195"/>
        <v>0.39</v>
      </c>
      <c r="P493" s="95">
        <f t="shared" si="195"/>
        <v>0.39</v>
      </c>
      <c r="Q493" s="95">
        <f t="shared" si="195"/>
        <v>0.39</v>
      </c>
      <c r="R493" s="95">
        <f t="shared" si="195"/>
        <v>0</v>
      </c>
      <c r="S493" s="95">
        <f t="shared" si="195"/>
        <v>0</v>
      </c>
      <c r="T493" s="95">
        <f t="shared" si="195"/>
        <v>0</v>
      </c>
      <c r="U493" s="95">
        <f t="shared" si="195"/>
        <v>0</v>
      </c>
      <c r="V493" s="95">
        <f t="shared" si="195"/>
        <v>0</v>
      </c>
      <c r="W493" s="95">
        <f t="shared" si="195"/>
        <v>0</v>
      </c>
      <c r="X493" s="283"/>
    </row>
    <row r="494" spans="1:24" s="8" customFormat="1" outlineLevel="2">
      <c r="A494" s="416">
        <f>D$53</f>
        <v>2</v>
      </c>
      <c r="B494" s="416">
        <f>B$53</f>
        <v>0.68</v>
      </c>
      <c r="C494" s="411">
        <f>IF(C$489&gt;$A494,$A494-$A493,C$489-SUM(C$492:C493))</f>
        <v>1</v>
      </c>
      <c r="D494" s="416">
        <f>IF(D$489&gt;$A494,$A494-$A493,D$489-SUM(D$492:D493))</f>
        <v>1</v>
      </c>
      <c r="E494" s="416">
        <f>IF(E$489&gt;$A494,$A494-$A493,E$489-SUM(E$492:E493))</f>
        <v>1</v>
      </c>
      <c r="F494" s="416">
        <f>IF(F$489&gt;$A494,$A494-$A493,F$489-SUM(F$492:F493))</f>
        <v>0.41000000000000014</v>
      </c>
      <c r="G494" s="416">
        <f>IF(G$489&gt;$A494,$A494-$A493,G$489-SUM(G$492:G493))</f>
        <v>0</v>
      </c>
      <c r="H494" s="416">
        <f>IF(H$489&gt;$A494,$A494-$A493,H$489-SUM(H$492:H493))</f>
        <v>0</v>
      </c>
      <c r="I494" s="416">
        <f>IF(I$489&gt;$A494,$A494-$A493,I$489-SUM(I$492:I493))</f>
        <v>0</v>
      </c>
      <c r="J494" s="416">
        <f>IF(J$489&gt;$A494,$A494-$A493,J$489-SUM(J$492:J493))</f>
        <v>0</v>
      </c>
      <c r="K494" s="416">
        <f>IF(K$489&gt;$A494,$A494-$A493,K$489-SUM(K$492:K493))</f>
        <v>0</v>
      </c>
      <c r="L494" s="416">
        <f>IF(L$489&gt;$A494,$A494-$A493,L$489-SUM(L$492:L493))</f>
        <v>0</v>
      </c>
      <c r="M494" s="283"/>
      <c r="N494" s="405">
        <f t="shared" si="195"/>
        <v>0.68</v>
      </c>
      <c r="O494" s="95">
        <f t="shared" si="195"/>
        <v>0.68</v>
      </c>
      <c r="P494" s="95">
        <f t="shared" si="195"/>
        <v>0.68</v>
      </c>
      <c r="Q494" s="95">
        <f t="shared" si="195"/>
        <v>0.2788000000000001</v>
      </c>
      <c r="R494" s="95">
        <f t="shared" si="195"/>
        <v>0</v>
      </c>
      <c r="S494" s="95">
        <f t="shared" si="195"/>
        <v>0</v>
      </c>
      <c r="T494" s="95">
        <f t="shared" si="195"/>
        <v>0</v>
      </c>
      <c r="U494" s="95">
        <f t="shared" si="195"/>
        <v>0</v>
      </c>
      <c r="V494" s="95">
        <f t="shared" si="195"/>
        <v>0</v>
      </c>
      <c r="W494" s="95">
        <f t="shared" si="195"/>
        <v>0</v>
      </c>
      <c r="X494" s="283"/>
    </row>
    <row r="495" spans="1:24" s="8" customFormat="1" outlineLevel="2">
      <c r="A495" s="416">
        <f>D$54</f>
        <v>5</v>
      </c>
      <c r="B495" s="416">
        <f>B$54</f>
        <v>0.45</v>
      </c>
      <c r="C495" s="411">
        <f>IF(C$489&gt;$A495,$A495-$A494,C$489-SUM(C$492:C494))</f>
        <v>1.0220000000000002</v>
      </c>
      <c r="D495" s="416">
        <f>IF(D$489&gt;$A495,$A495-$A494,D$489-SUM(D$492:D494))</f>
        <v>1.5</v>
      </c>
      <c r="E495" s="416">
        <f>IF(E$489&gt;$A495,$A495-$A494,E$489-SUM(E$492:E494))</f>
        <v>0.23099999999999987</v>
      </c>
      <c r="F495" s="416">
        <f>IF(F$489&gt;$A495,$A495-$A494,F$489-SUM(F$492:F494))</f>
        <v>0</v>
      </c>
      <c r="G495" s="416">
        <f>IF(G$489&gt;$A495,$A495-$A494,G$489-SUM(G$492:G494))</f>
        <v>0</v>
      </c>
      <c r="H495" s="416">
        <f>IF(H$489&gt;$A495,$A495-$A494,H$489-SUM(H$492:H494))</f>
        <v>0</v>
      </c>
      <c r="I495" s="416">
        <f>IF(I$489&gt;$A495,$A495-$A494,I$489-SUM(I$492:I494))</f>
        <v>0</v>
      </c>
      <c r="J495" s="416">
        <f>IF(J$489&gt;$A495,$A495-$A494,J$489-SUM(J$492:J494))</f>
        <v>0</v>
      </c>
      <c r="K495" s="416">
        <f>IF(K$489&gt;$A495,$A495-$A494,K$489-SUM(K$492:K494))</f>
        <v>0</v>
      </c>
      <c r="L495" s="416">
        <f>IF(L$489&gt;$A495,$A495-$A494,L$489-SUM(L$492:L494))</f>
        <v>0</v>
      </c>
      <c r="M495" s="283"/>
      <c r="N495" s="405">
        <f t="shared" si="195"/>
        <v>0.45990000000000014</v>
      </c>
      <c r="O495" s="95">
        <f t="shared" si="195"/>
        <v>0.67500000000000004</v>
      </c>
      <c r="P495" s="95">
        <f t="shared" si="195"/>
        <v>0.10394999999999995</v>
      </c>
      <c r="Q495" s="95">
        <f t="shared" si="195"/>
        <v>0</v>
      </c>
      <c r="R495" s="95">
        <f t="shared" si="195"/>
        <v>0</v>
      </c>
      <c r="S495" s="95">
        <f t="shared" si="195"/>
        <v>0</v>
      </c>
      <c r="T495" s="95">
        <f t="shared" si="195"/>
        <v>0</v>
      </c>
      <c r="U495" s="95">
        <f t="shared" si="195"/>
        <v>0</v>
      </c>
      <c r="V495" s="95">
        <f t="shared" si="195"/>
        <v>0</v>
      </c>
      <c r="W495" s="95">
        <f t="shared" si="195"/>
        <v>0</v>
      </c>
      <c r="X495" s="283"/>
    </row>
    <row r="496" spans="1:24" s="8" customFormat="1" outlineLevel="2">
      <c r="A496" s="416">
        <f>D$55</f>
        <v>10</v>
      </c>
      <c r="B496" s="416">
        <f>B$55</f>
        <v>0.42</v>
      </c>
      <c r="C496" s="411">
        <f>IF(C$489&gt;$A496,$A496-$A495,C$489-SUM(C$492:C495))</f>
        <v>0</v>
      </c>
      <c r="D496" s="416">
        <f>IF(D$489&gt;$A496,$A496-$A495,D$489-SUM(D$492:D495))</f>
        <v>0</v>
      </c>
      <c r="E496" s="416">
        <f>IF(E$489&gt;$A496,$A496-$A495,E$489-SUM(E$492:E495))</f>
        <v>0</v>
      </c>
      <c r="F496" s="416">
        <f>IF(F$489&gt;$A496,$A496-$A495,F$489-SUM(F$492:F495))</f>
        <v>0</v>
      </c>
      <c r="G496" s="416">
        <f>IF(G$489&gt;$A496,$A496-$A495,G$489-SUM(G$492:G495))</f>
        <v>0</v>
      </c>
      <c r="H496" s="416">
        <f>IF(H$489&gt;$A496,$A496-$A495,H$489-SUM(H$492:H495))</f>
        <v>0</v>
      </c>
      <c r="I496" s="416">
        <f>IF(I$489&gt;$A496,$A496-$A495,I$489-SUM(I$492:I495))</f>
        <v>0</v>
      </c>
      <c r="J496" s="416">
        <f>IF(J$489&gt;$A496,$A496-$A495,J$489-SUM(J$492:J495))</f>
        <v>0</v>
      </c>
      <c r="K496" s="416">
        <f>IF(K$489&gt;$A496,$A496-$A495,K$489-SUM(K$492:K495))</f>
        <v>0</v>
      </c>
      <c r="L496" s="416">
        <f>IF(L$489&gt;$A496,$A496-$A495,L$489-SUM(L$492:L495))</f>
        <v>0</v>
      </c>
      <c r="M496" s="283"/>
      <c r="N496" s="405">
        <f t="shared" si="195"/>
        <v>0</v>
      </c>
      <c r="O496" s="95">
        <f t="shared" si="195"/>
        <v>0</v>
      </c>
      <c r="P496" s="95">
        <f t="shared" si="195"/>
        <v>0</v>
      </c>
      <c r="Q496" s="95">
        <f t="shared" si="195"/>
        <v>0</v>
      </c>
      <c r="R496" s="95">
        <f t="shared" si="195"/>
        <v>0</v>
      </c>
      <c r="S496" s="95">
        <f t="shared" si="195"/>
        <v>0</v>
      </c>
      <c r="T496" s="95">
        <f t="shared" si="195"/>
        <v>0</v>
      </c>
      <c r="U496" s="95">
        <f t="shared" si="195"/>
        <v>0</v>
      </c>
      <c r="V496" s="95">
        <f t="shared" si="195"/>
        <v>0</v>
      </c>
      <c r="W496" s="95">
        <f t="shared" si="195"/>
        <v>0</v>
      </c>
      <c r="X496" s="283"/>
    </row>
    <row r="497" spans="1:24" s="8" customFormat="1" outlineLevel="2">
      <c r="A497" s="416">
        <f>D$56</f>
        <v>20</v>
      </c>
      <c r="B497" s="416">
        <f>B$56</f>
        <v>0.22</v>
      </c>
      <c r="C497" s="411">
        <f>IF(C$489&gt;$A497,$A497-$A496,C$489-SUM(C$492:C496))</f>
        <v>0</v>
      </c>
      <c r="D497" s="416">
        <f>IF(D$489&gt;$A497,$A497-$A496,D$489-SUM(D$492:D496))</f>
        <v>0</v>
      </c>
      <c r="E497" s="416">
        <f>IF(E$489&gt;$A497,$A497-$A496,E$489-SUM(E$492:E496))</f>
        <v>0</v>
      </c>
      <c r="F497" s="416">
        <f>IF(F$489&gt;$A497,$A497-$A496,F$489-SUM(F$492:F496))</f>
        <v>0</v>
      </c>
      <c r="G497" s="416">
        <f>IF(G$489&gt;$A497,$A497-$A496,G$489-SUM(G$492:G496))</f>
        <v>0</v>
      </c>
      <c r="H497" s="416">
        <f>IF(H$489&gt;$A497,$A497-$A496,H$489-SUM(H$492:H496))</f>
        <v>0</v>
      </c>
      <c r="I497" s="416">
        <f>IF(I$489&gt;$A497,$A497-$A496,I$489-SUM(I$492:I496))</f>
        <v>0</v>
      </c>
      <c r="J497" s="416">
        <f>IF(J$489&gt;$A497,$A497-$A496,J$489-SUM(J$492:J496))</f>
        <v>0</v>
      </c>
      <c r="K497" s="416">
        <f>IF(K$489&gt;$A497,$A497-$A496,K$489-SUM(K$492:K496))</f>
        <v>0</v>
      </c>
      <c r="L497" s="416">
        <f>IF(L$489&gt;$A497,$A497-$A496,L$489-SUM(L$492:L496))</f>
        <v>0</v>
      </c>
      <c r="M497" s="283"/>
      <c r="N497" s="405">
        <f t="shared" si="195"/>
        <v>0</v>
      </c>
      <c r="O497" s="95">
        <f t="shared" si="195"/>
        <v>0</v>
      </c>
      <c r="P497" s="95">
        <f t="shared" si="195"/>
        <v>0</v>
      </c>
      <c r="Q497" s="95">
        <f t="shared" si="195"/>
        <v>0</v>
      </c>
      <c r="R497" s="95">
        <f t="shared" si="195"/>
        <v>0</v>
      </c>
      <c r="S497" s="95">
        <f t="shared" si="195"/>
        <v>0</v>
      </c>
      <c r="T497" s="95">
        <f t="shared" si="195"/>
        <v>0</v>
      </c>
      <c r="U497" s="95">
        <f t="shared" si="195"/>
        <v>0</v>
      </c>
      <c r="V497" s="95">
        <f t="shared" si="195"/>
        <v>0</v>
      </c>
      <c r="W497" s="95">
        <f t="shared" si="195"/>
        <v>0</v>
      </c>
      <c r="X497" s="283"/>
    </row>
    <row r="498" spans="1:24" s="8" customFormat="1" outlineLevel="2">
      <c r="A498" s="416">
        <f>D$57</f>
        <v>50</v>
      </c>
      <c r="B498" s="416">
        <f>B$57</f>
        <v>0.2</v>
      </c>
      <c r="C498" s="411">
        <f>IF(C$489&gt;$A498,$A498-$A497,C$489-SUM(C$492:C497))</f>
        <v>0</v>
      </c>
      <c r="D498" s="416">
        <f>IF(D$489&gt;$A498,$A498-$A497,D$489-SUM(D$492:D497))</f>
        <v>0</v>
      </c>
      <c r="E498" s="416">
        <f>IF(E$489&gt;$A498,$A498-$A497,E$489-SUM(E$492:E497))</f>
        <v>0</v>
      </c>
      <c r="F498" s="416">
        <f>IF(F$489&gt;$A498,$A498-$A497,F$489-SUM(F$492:F497))</f>
        <v>0</v>
      </c>
      <c r="G498" s="416">
        <f>IF(G$489&gt;$A498,$A498-$A497,G$489-SUM(G$492:G497))</f>
        <v>0</v>
      </c>
      <c r="H498" s="416">
        <f>IF(H$489&gt;$A498,$A498-$A497,H$489-SUM(H$492:H497))</f>
        <v>0</v>
      </c>
      <c r="I498" s="416">
        <f>IF(I$489&gt;$A498,$A498-$A497,I$489-SUM(I$492:I497))</f>
        <v>0</v>
      </c>
      <c r="J498" s="416">
        <f>IF(J$489&gt;$A498,$A498-$A497,J$489-SUM(J$492:J497))</f>
        <v>0</v>
      </c>
      <c r="K498" s="416">
        <f>IF(K$489&gt;$A498,$A498-$A497,K$489-SUM(K$492:K497))</f>
        <v>0</v>
      </c>
      <c r="L498" s="416">
        <f>IF(L$489&gt;$A498,$A498-$A497,L$489-SUM(L$492:L497))</f>
        <v>0</v>
      </c>
      <c r="M498" s="283"/>
      <c r="N498" s="405">
        <f t="shared" si="195"/>
        <v>0</v>
      </c>
      <c r="O498" s="95">
        <f t="shared" si="195"/>
        <v>0</v>
      </c>
      <c r="P498" s="95">
        <f t="shared" si="195"/>
        <v>0</v>
      </c>
      <c r="Q498" s="95">
        <f t="shared" si="195"/>
        <v>0</v>
      </c>
      <c r="R498" s="95">
        <f t="shared" si="195"/>
        <v>0</v>
      </c>
      <c r="S498" s="95">
        <f t="shared" si="195"/>
        <v>0</v>
      </c>
      <c r="T498" s="95">
        <f t="shared" si="195"/>
        <v>0</v>
      </c>
      <c r="U498" s="95">
        <f t="shared" si="195"/>
        <v>0</v>
      </c>
      <c r="V498" s="95">
        <f t="shared" si="195"/>
        <v>0</v>
      </c>
      <c r="W498" s="95">
        <f t="shared" si="195"/>
        <v>0</v>
      </c>
      <c r="X498" s="283"/>
    </row>
    <row r="499" spans="1:24" s="8" customFormat="1" outlineLevel="2">
      <c r="A499" s="416">
        <f>D$58</f>
        <v>75</v>
      </c>
      <c r="B499" s="416">
        <f>B$58</f>
        <v>0.15</v>
      </c>
      <c r="C499" s="411">
        <f>IF(C$489&gt;$A499,$A499-$A498,C$489-SUM(C$492:C498))</f>
        <v>0</v>
      </c>
      <c r="D499" s="416">
        <f>IF(D$489&gt;$A499,$A499-$A498,D$489-SUM(D$492:D498))</f>
        <v>0</v>
      </c>
      <c r="E499" s="416">
        <f>IF(E$489&gt;$A499,$A499-$A498,E$489-SUM(E$492:E498))</f>
        <v>0</v>
      </c>
      <c r="F499" s="416">
        <f>IF(F$489&gt;$A499,$A499-$A498,F$489-SUM(F$492:F498))</f>
        <v>0</v>
      </c>
      <c r="G499" s="416">
        <f>IF(G$489&gt;$A499,$A499-$A498,G$489-SUM(G$492:G498))</f>
        <v>0</v>
      </c>
      <c r="H499" s="416">
        <f>IF(H$489&gt;$A499,$A499-$A498,H$489-SUM(H$492:H498))</f>
        <v>0</v>
      </c>
      <c r="I499" s="416">
        <f>IF(I$489&gt;$A499,$A499-$A498,I$489-SUM(I$492:I498))</f>
        <v>0</v>
      </c>
      <c r="J499" s="416">
        <f>IF(J$489&gt;$A499,$A499-$A498,J$489-SUM(J$492:J498))</f>
        <v>0</v>
      </c>
      <c r="K499" s="416">
        <f>IF(K$489&gt;$A499,$A499-$A498,K$489-SUM(K$492:K498))</f>
        <v>0</v>
      </c>
      <c r="L499" s="416">
        <f>IF(L$489&gt;$A499,$A499-$A498,L$489-SUM(L$492:L498))</f>
        <v>0</v>
      </c>
      <c r="M499" s="283"/>
      <c r="N499" s="405">
        <f t="shared" si="195"/>
        <v>0</v>
      </c>
      <c r="O499" s="95">
        <f t="shared" si="195"/>
        <v>0</v>
      </c>
      <c r="P499" s="95">
        <f t="shared" si="195"/>
        <v>0</v>
      </c>
      <c r="Q499" s="95">
        <f t="shared" si="195"/>
        <v>0</v>
      </c>
      <c r="R499" s="95">
        <f t="shared" si="195"/>
        <v>0</v>
      </c>
      <c r="S499" s="95">
        <f t="shared" si="195"/>
        <v>0</v>
      </c>
      <c r="T499" s="95">
        <f t="shared" si="195"/>
        <v>0</v>
      </c>
      <c r="U499" s="95">
        <f t="shared" si="195"/>
        <v>0</v>
      </c>
      <c r="V499" s="95">
        <f t="shared" si="195"/>
        <v>0</v>
      </c>
      <c r="W499" s="95">
        <f t="shared" si="195"/>
        <v>0</v>
      </c>
      <c r="X499" s="283"/>
    </row>
    <row r="500" spans="1:24" s="8" customFormat="1" outlineLevel="2">
      <c r="A500" s="416">
        <f>D$59</f>
        <v>9999</v>
      </c>
      <c r="B500" s="416">
        <f>B$59</f>
        <v>0.1</v>
      </c>
      <c r="C500" s="411">
        <f>IF(C$489&gt;$A500,$A500-$A499,C$489-SUM(C$492:C499))</f>
        <v>0</v>
      </c>
      <c r="D500" s="416">
        <f>IF(D$489&gt;$A500,$A500-$A499,D$489-SUM(D$492:D499))</f>
        <v>0</v>
      </c>
      <c r="E500" s="416">
        <f>IF(E$489&gt;$A500,$A500-$A499,E$489-SUM(E$492:E499))</f>
        <v>0</v>
      </c>
      <c r="F500" s="416">
        <f>IF(F$489&gt;$A500,$A500-$A499,F$489-SUM(F$492:F499))</f>
        <v>0</v>
      </c>
      <c r="G500" s="416">
        <f>IF(G$489&gt;$A500,$A500-$A499,G$489-SUM(G$492:G499))</f>
        <v>0</v>
      </c>
      <c r="H500" s="416">
        <f>IF(H$489&gt;$A500,$A500-$A499,H$489-SUM(H$492:H499))</f>
        <v>0</v>
      </c>
      <c r="I500" s="416">
        <f>IF(I$489&gt;$A500,$A500-$A499,I$489-SUM(I$492:I499))</f>
        <v>0</v>
      </c>
      <c r="J500" s="416">
        <f>IF(J$489&gt;$A500,$A500-$A499,J$489-SUM(J$492:J499))</f>
        <v>0</v>
      </c>
      <c r="K500" s="416">
        <f>IF(K$489&gt;$A500,$A500-$A499,K$489-SUM(K$492:K499))</f>
        <v>0</v>
      </c>
      <c r="L500" s="416">
        <f>IF(L$489&gt;$A500,$A500-$A499,L$489-SUM(L$492:L499))</f>
        <v>0</v>
      </c>
      <c r="M500" s="283"/>
      <c r="N500" s="405">
        <f t="shared" si="195"/>
        <v>0</v>
      </c>
      <c r="O500" s="95">
        <f t="shared" si="195"/>
        <v>0</v>
      </c>
      <c r="P500" s="95">
        <f t="shared" si="195"/>
        <v>0</v>
      </c>
      <c r="Q500" s="95">
        <f t="shared" si="195"/>
        <v>0</v>
      </c>
      <c r="R500" s="95">
        <f t="shared" si="195"/>
        <v>0</v>
      </c>
      <c r="S500" s="95">
        <f t="shared" si="195"/>
        <v>0</v>
      </c>
      <c r="T500" s="95">
        <f t="shared" si="195"/>
        <v>0</v>
      </c>
      <c r="U500" s="95">
        <f t="shared" si="195"/>
        <v>0</v>
      </c>
      <c r="V500" s="95">
        <f t="shared" si="195"/>
        <v>0</v>
      </c>
      <c r="W500" s="95">
        <f t="shared" si="195"/>
        <v>0</v>
      </c>
      <c r="X500" s="283"/>
    </row>
    <row r="501" spans="1:24" s="8" customFormat="1" outlineLevel="1">
      <c r="A501" s="404"/>
      <c r="B501" s="417" t="str">
        <f>CONCATENATE(B488," Total")</f>
        <v>Palm Total</v>
      </c>
      <c r="C501" s="418">
        <f>SUM(C492:C500)</f>
        <v>3.0220000000000002</v>
      </c>
      <c r="D501" s="419">
        <f t="shared" ref="D501:L501" si="196">SUM(D492:D500)</f>
        <v>3.5</v>
      </c>
      <c r="E501" s="419">
        <f t="shared" si="196"/>
        <v>2.2309999999999999</v>
      </c>
      <c r="F501" s="419">
        <f t="shared" si="196"/>
        <v>1.4100000000000001</v>
      </c>
      <c r="G501" s="419">
        <f t="shared" si="196"/>
        <v>0.2</v>
      </c>
      <c r="H501" s="419">
        <f t="shared" si="196"/>
        <v>0</v>
      </c>
      <c r="I501" s="419">
        <f t="shared" si="196"/>
        <v>0</v>
      </c>
      <c r="J501" s="419">
        <f t="shared" si="196"/>
        <v>0</v>
      </c>
      <c r="K501" s="419">
        <f t="shared" si="196"/>
        <v>0</v>
      </c>
      <c r="L501" s="419">
        <f t="shared" si="196"/>
        <v>0</v>
      </c>
      <c r="M501" s="283"/>
      <c r="N501" s="420">
        <f>SUM(N492:N500)</f>
        <v>2.0199000000000003</v>
      </c>
      <c r="O501" s="420">
        <f t="shared" ref="O501:W501" si="197">SUM(O492:O500)</f>
        <v>2.2350000000000003</v>
      </c>
      <c r="P501" s="420">
        <f t="shared" si="197"/>
        <v>1.66395</v>
      </c>
      <c r="Q501" s="420">
        <f t="shared" si="197"/>
        <v>1.1588000000000001</v>
      </c>
      <c r="R501" s="420">
        <f t="shared" si="197"/>
        <v>0.19600000000000001</v>
      </c>
      <c r="S501" s="420">
        <f t="shared" si="197"/>
        <v>0</v>
      </c>
      <c r="T501" s="420">
        <f t="shared" si="197"/>
        <v>0</v>
      </c>
      <c r="U501" s="420">
        <f t="shared" si="197"/>
        <v>0</v>
      </c>
      <c r="V501" s="420">
        <f t="shared" si="197"/>
        <v>0</v>
      </c>
      <c r="W501" s="420">
        <f t="shared" si="197"/>
        <v>0</v>
      </c>
      <c r="X501" s="283"/>
    </row>
    <row r="502" spans="1:24" s="8" customFormat="1" outlineLevel="1">
      <c r="B502" s="421" t="s">
        <v>778</v>
      </c>
      <c r="C502" s="422">
        <f t="shared" ref="C502:L502" si="198">C501-C489</f>
        <v>0</v>
      </c>
      <c r="D502" s="423">
        <f t="shared" si="198"/>
        <v>0</v>
      </c>
      <c r="E502" s="423">
        <f t="shared" si="198"/>
        <v>0</v>
      </c>
      <c r="F502" s="423">
        <f t="shared" si="198"/>
        <v>0</v>
      </c>
      <c r="G502" s="423">
        <f t="shared" si="198"/>
        <v>0</v>
      </c>
      <c r="H502" s="423">
        <f t="shared" si="198"/>
        <v>0</v>
      </c>
      <c r="I502" s="423">
        <f t="shared" si="198"/>
        <v>0</v>
      </c>
      <c r="J502" s="423">
        <f t="shared" si="198"/>
        <v>0</v>
      </c>
      <c r="K502" s="423">
        <f t="shared" si="198"/>
        <v>0</v>
      </c>
      <c r="L502" s="423">
        <f t="shared" si="198"/>
        <v>0</v>
      </c>
      <c r="M502" s="283"/>
      <c r="N502" s="283"/>
      <c r="O502" s="283"/>
      <c r="P502" s="283"/>
      <c r="Q502" s="283"/>
      <c r="R502" s="283"/>
      <c r="S502" s="283"/>
      <c r="T502" s="283"/>
      <c r="U502" s="283"/>
      <c r="V502" s="283"/>
      <c r="W502" s="283"/>
      <c r="X502" s="283"/>
    </row>
    <row r="503" spans="1:24" s="8" customFormat="1" outlineLevel="1">
      <c r="B503" s="283"/>
      <c r="C503" s="283"/>
      <c r="M503" s="283"/>
      <c r="X503" s="283"/>
    </row>
    <row r="504" spans="1:24" s="8" customFormat="1" outlineLevel="1" collapsed="1">
      <c r="A504" s="8">
        <f>A488+1</f>
        <v>21</v>
      </c>
      <c r="B504" s="424" t="str">
        <f>A160</f>
        <v>Panasonic</v>
      </c>
      <c r="C504" s="80">
        <v>2007</v>
      </c>
      <c r="D504" s="66">
        <f>C504+1</f>
        <v>2008</v>
      </c>
      <c r="E504" s="66">
        <f t="shared" ref="E504:L504" si="199">D504+1</f>
        <v>2009</v>
      </c>
      <c r="F504" s="66">
        <f t="shared" si="199"/>
        <v>2010</v>
      </c>
      <c r="G504" s="66">
        <f t="shared" si="199"/>
        <v>2011</v>
      </c>
      <c r="H504" s="66">
        <f t="shared" si="199"/>
        <v>2012</v>
      </c>
      <c r="I504" s="66">
        <f t="shared" si="199"/>
        <v>2013</v>
      </c>
      <c r="J504" s="66">
        <f t="shared" si="199"/>
        <v>2014</v>
      </c>
      <c r="K504" s="66">
        <f t="shared" si="199"/>
        <v>2015</v>
      </c>
      <c r="L504" s="66">
        <f t="shared" si="199"/>
        <v>2016</v>
      </c>
      <c r="M504" s="283"/>
      <c r="N504" s="168">
        <f t="shared" ref="N504:W504" si="200">C504</f>
        <v>2007</v>
      </c>
      <c r="O504" s="66">
        <f t="shared" si="200"/>
        <v>2008</v>
      </c>
      <c r="P504" s="66">
        <f t="shared" si="200"/>
        <v>2009</v>
      </c>
      <c r="Q504" s="66">
        <f t="shared" si="200"/>
        <v>2010</v>
      </c>
      <c r="R504" s="66">
        <f t="shared" si="200"/>
        <v>2011</v>
      </c>
      <c r="S504" s="66">
        <f t="shared" si="200"/>
        <v>2012</v>
      </c>
      <c r="T504" s="66">
        <f t="shared" si="200"/>
        <v>2013</v>
      </c>
      <c r="U504" s="66">
        <f t="shared" si="200"/>
        <v>2014</v>
      </c>
      <c r="V504" s="66">
        <f t="shared" si="200"/>
        <v>2015</v>
      </c>
      <c r="W504" s="66">
        <f t="shared" si="200"/>
        <v>2016</v>
      </c>
      <c r="X504" s="283"/>
    </row>
    <row r="505" spans="1:24" s="8" customFormat="1" outlineLevel="2">
      <c r="B505" s="8" t="s">
        <v>1348</v>
      </c>
      <c r="C505" s="411">
        <f t="shared" ref="C505:L505" si="201">VLOOKUP($B504,$A$140:$K$175,C$183+1,FALSE)</f>
        <v>8.8999999999999986</v>
      </c>
      <c r="D505" s="412">
        <f t="shared" si="201"/>
        <v>7.2000000000000011</v>
      </c>
      <c r="E505" s="412">
        <f t="shared" si="201"/>
        <v>5.8900000000000006</v>
      </c>
      <c r="F505" s="412">
        <f t="shared" si="201"/>
        <v>4.6399999999999997</v>
      </c>
      <c r="G505" s="412">
        <f t="shared" si="201"/>
        <v>3.0049999999999999</v>
      </c>
      <c r="H505" s="412">
        <f t="shared" si="201"/>
        <v>2.7</v>
      </c>
      <c r="I505" s="412">
        <f t="shared" si="201"/>
        <v>2.1999999999999997</v>
      </c>
      <c r="J505" s="412">
        <f t="shared" si="201"/>
        <v>0.30000000000000004</v>
      </c>
      <c r="K505" s="412">
        <f t="shared" si="201"/>
        <v>0</v>
      </c>
      <c r="L505" s="412">
        <f t="shared" si="201"/>
        <v>0</v>
      </c>
      <c r="M505" s="283"/>
      <c r="N505" s="283"/>
      <c r="X505" s="283"/>
    </row>
    <row r="506" spans="1:24" s="8" customFormat="1" outlineLevel="2">
      <c r="C506" s="413"/>
      <c r="D506" s="414"/>
      <c r="E506" s="414"/>
      <c r="F506" s="414"/>
      <c r="G506" s="414"/>
      <c r="H506" s="414"/>
      <c r="I506" s="414"/>
      <c r="J506" s="414"/>
      <c r="K506" s="414"/>
      <c r="L506" s="414"/>
      <c r="M506" s="283"/>
      <c r="N506" s="283"/>
      <c r="X506" s="283"/>
    </row>
    <row r="507" spans="1:24" s="8" customFormat="1" outlineLevel="2">
      <c r="A507" s="66" t="s">
        <v>1349</v>
      </c>
      <c r="B507" s="66" t="s">
        <v>1350</v>
      </c>
      <c r="C507" s="415"/>
      <c r="F507" s="9"/>
      <c r="M507" s="283"/>
      <c r="N507" s="283"/>
      <c r="X507" s="283"/>
    </row>
    <row r="508" spans="1:24" s="8" customFormat="1" outlineLevel="2">
      <c r="A508" s="416">
        <f>D$51</f>
        <v>0.5</v>
      </c>
      <c r="B508" s="416">
        <f>B$51</f>
        <v>0.98</v>
      </c>
      <c r="C508" s="411">
        <f>IF(C$505&gt;$A508,$A508,C$505)</f>
        <v>0.5</v>
      </c>
      <c r="D508" s="416">
        <f t="shared" ref="D508:L508" si="202">IF(D$505&gt;$A508,$A508,D$505)</f>
        <v>0.5</v>
      </c>
      <c r="E508" s="416">
        <f t="shared" si="202"/>
        <v>0.5</v>
      </c>
      <c r="F508" s="416">
        <f t="shared" si="202"/>
        <v>0.5</v>
      </c>
      <c r="G508" s="416">
        <f t="shared" si="202"/>
        <v>0.5</v>
      </c>
      <c r="H508" s="416">
        <f t="shared" si="202"/>
        <v>0.5</v>
      </c>
      <c r="I508" s="416">
        <f t="shared" si="202"/>
        <v>0.5</v>
      </c>
      <c r="J508" s="416">
        <f t="shared" si="202"/>
        <v>0.30000000000000004</v>
      </c>
      <c r="K508" s="416">
        <f t="shared" si="202"/>
        <v>0</v>
      </c>
      <c r="L508" s="416">
        <f t="shared" si="202"/>
        <v>0</v>
      </c>
      <c r="M508" s="283"/>
      <c r="N508" s="405">
        <f t="shared" ref="N508:W516" si="203">C508*$B508</f>
        <v>0.49</v>
      </c>
      <c r="O508" s="95">
        <f t="shared" si="203"/>
        <v>0.49</v>
      </c>
      <c r="P508" s="95">
        <f t="shared" si="203"/>
        <v>0.49</v>
      </c>
      <c r="Q508" s="95">
        <f t="shared" si="203"/>
        <v>0.49</v>
      </c>
      <c r="R508" s="95">
        <f t="shared" si="203"/>
        <v>0.49</v>
      </c>
      <c r="S508" s="95">
        <f t="shared" si="203"/>
        <v>0.49</v>
      </c>
      <c r="T508" s="95">
        <f t="shared" si="203"/>
        <v>0.49</v>
      </c>
      <c r="U508" s="95">
        <f t="shared" si="203"/>
        <v>0.29400000000000004</v>
      </c>
      <c r="V508" s="95">
        <f t="shared" si="203"/>
        <v>0</v>
      </c>
      <c r="W508" s="95">
        <f t="shared" si="203"/>
        <v>0</v>
      </c>
      <c r="X508" s="283"/>
    </row>
    <row r="509" spans="1:24" s="8" customFormat="1" outlineLevel="2">
      <c r="A509" s="416">
        <f>D$52</f>
        <v>1</v>
      </c>
      <c r="B509" s="416">
        <f>B$52</f>
        <v>0.78</v>
      </c>
      <c r="C509" s="411">
        <f>IF(C$505&gt;$A509,$A509-$A508,C$505-SUM(C508:C$508))</f>
        <v>0.5</v>
      </c>
      <c r="D509" s="416">
        <f>IF(D$505&gt;$A509,$A509-$A508,D$505-SUM(D508:D$508))</f>
        <v>0.5</v>
      </c>
      <c r="E509" s="416">
        <f>IF(E$505&gt;$A509,$A509-$A508,E$505-SUM(E508:E$508))</f>
        <v>0.5</v>
      </c>
      <c r="F509" s="416">
        <f>IF(F$505&gt;$A509,$A509-$A508,F$505-SUM(F508:F$508))</f>
        <v>0.5</v>
      </c>
      <c r="G509" s="416">
        <f>IF(G$505&gt;$A509,$A509-$A508,G$505-SUM(G508:G$508))</f>
        <v>0.5</v>
      </c>
      <c r="H509" s="416">
        <f>IF(H$505&gt;$A509,$A509-$A508,H$505-SUM(H508:H$508))</f>
        <v>0.5</v>
      </c>
      <c r="I509" s="416">
        <f>IF(I$505&gt;$A509,$A509-$A508,I$505-SUM(I508:I$508))</f>
        <v>0.5</v>
      </c>
      <c r="J509" s="416">
        <f>IF(J$505&gt;$A509,$A509-$A508,J$505-SUM(J508:J$508))</f>
        <v>0</v>
      </c>
      <c r="K509" s="416">
        <f>IF(K$505&gt;$A509,$A509-$A508,K$505-SUM(K508:K$508))</f>
        <v>0</v>
      </c>
      <c r="L509" s="416">
        <f>IF(L$505&gt;$A509,$A509-$A508,L$505-SUM(L508:L$508))</f>
        <v>0</v>
      </c>
      <c r="M509" s="283"/>
      <c r="N509" s="405">
        <f t="shared" si="203"/>
        <v>0.39</v>
      </c>
      <c r="O509" s="95">
        <f t="shared" si="203"/>
        <v>0.39</v>
      </c>
      <c r="P509" s="95">
        <f t="shared" si="203"/>
        <v>0.39</v>
      </c>
      <c r="Q509" s="95">
        <f t="shared" si="203"/>
        <v>0.39</v>
      </c>
      <c r="R509" s="95">
        <f t="shared" si="203"/>
        <v>0.39</v>
      </c>
      <c r="S509" s="95">
        <f t="shared" si="203"/>
        <v>0.39</v>
      </c>
      <c r="T509" s="95">
        <f t="shared" si="203"/>
        <v>0.39</v>
      </c>
      <c r="U509" s="95">
        <f t="shared" si="203"/>
        <v>0</v>
      </c>
      <c r="V509" s="95">
        <f t="shared" si="203"/>
        <v>0</v>
      </c>
      <c r="W509" s="95">
        <f t="shared" si="203"/>
        <v>0</v>
      </c>
      <c r="X509" s="283"/>
    </row>
    <row r="510" spans="1:24" s="8" customFormat="1" outlineLevel="2">
      <c r="A510" s="416">
        <f>D$53</f>
        <v>2</v>
      </c>
      <c r="B510" s="416">
        <f>B$53</f>
        <v>0.68</v>
      </c>
      <c r="C510" s="411">
        <f>IF(C$505&gt;$A510,$A510-$A509,C$505-SUM(C$508:C509))</f>
        <v>1</v>
      </c>
      <c r="D510" s="416">
        <f>IF(D$505&gt;$A510,$A510-$A509,D$505-SUM(D$508:D509))</f>
        <v>1</v>
      </c>
      <c r="E510" s="416">
        <f>IF(E$505&gt;$A510,$A510-$A509,E$505-SUM(E$508:E509))</f>
        <v>1</v>
      </c>
      <c r="F510" s="416">
        <f>IF(F$505&gt;$A510,$A510-$A509,F$505-SUM(F$508:F509))</f>
        <v>1</v>
      </c>
      <c r="G510" s="416">
        <f>IF(G$505&gt;$A510,$A510-$A509,G$505-SUM(G$508:G509))</f>
        <v>1</v>
      </c>
      <c r="H510" s="416">
        <f>IF(H$505&gt;$A510,$A510-$A509,H$505-SUM(H$508:H509))</f>
        <v>1</v>
      </c>
      <c r="I510" s="416">
        <f>IF(I$505&gt;$A510,$A510-$A509,I$505-SUM(I$508:I509))</f>
        <v>1</v>
      </c>
      <c r="J510" s="416">
        <f>IF(J$505&gt;$A510,$A510-$A509,J$505-SUM(J$508:J509))</f>
        <v>0</v>
      </c>
      <c r="K510" s="416">
        <f>IF(K$505&gt;$A510,$A510-$A509,K$505-SUM(K$508:K509))</f>
        <v>0</v>
      </c>
      <c r="L510" s="416">
        <f>IF(L$505&gt;$A510,$A510-$A509,L$505-SUM(L$508:L509))</f>
        <v>0</v>
      </c>
      <c r="M510" s="283"/>
      <c r="N510" s="405">
        <f t="shared" si="203"/>
        <v>0.68</v>
      </c>
      <c r="O510" s="95">
        <f t="shared" si="203"/>
        <v>0.68</v>
      </c>
      <c r="P510" s="95">
        <f t="shared" si="203"/>
        <v>0.68</v>
      </c>
      <c r="Q510" s="95">
        <f t="shared" si="203"/>
        <v>0.68</v>
      </c>
      <c r="R510" s="95">
        <f t="shared" si="203"/>
        <v>0.68</v>
      </c>
      <c r="S510" s="95">
        <f t="shared" si="203"/>
        <v>0.68</v>
      </c>
      <c r="T510" s="95">
        <f t="shared" si="203"/>
        <v>0.68</v>
      </c>
      <c r="U510" s="95">
        <f t="shared" si="203"/>
        <v>0</v>
      </c>
      <c r="V510" s="95">
        <f t="shared" si="203"/>
        <v>0</v>
      </c>
      <c r="W510" s="95">
        <f t="shared" si="203"/>
        <v>0</v>
      </c>
      <c r="X510" s="283"/>
    </row>
    <row r="511" spans="1:24" s="8" customFormat="1" outlineLevel="2">
      <c r="A511" s="416">
        <f>D$54</f>
        <v>5</v>
      </c>
      <c r="B511" s="416">
        <f>B$54</f>
        <v>0.45</v>
      </c>
      <c r="C511" s="411">
        <f>IF(C$505&gt;$A511,$A511-$A510,C$505-SUM(C$508:C510))</f>
        <v>3</v>
      </c>
      <c r="D511" s="416">
        <f>IF(D$505&gt;$A511,$A511-$A510,D$505-SUM(D$508:D510))</f>
        <v>3</v>
      </c>
      <c r="E511" s="416">
        <f>IF(E$505&gt;$A511,$A511-$A510,E$505-SUM(E$508:E510))</f>
        <v>3</v>
      </c>
      <c r="F511" s="416">
        <f>IF(F$505&gt;$A511,$A511-$A510,F$505-SUM(F$508:F510))</f>
        <v>2.6399999999999997</v>
      </c>
      <c r="G511" s="416">
        <f>IF(G$505&gt;$A511,$A511-$A510,G$505-SUM(G$508:G510))</f>
        <v>1.0049999999999999</v>
      </c>
      <c r="H511" s="416">
        <f>IF(H$505&gt;$A511,$A511-$A510,H$505-SUM(H$508:H510))</f>
        <v>0.70000000000000018</v>
      </c>
      <c r="I511" s="416">
        <f>IF(I$505&gt;$A511,$A511-$A510,I$505-SUM(I$508:I510))</f>
        <v>0.19999999999999973</v>
      </c>
      <c r="J511" s="416">
        <f>IF(J$505&gt;$A511,$A511-$A510,J$505-SUM(J$508:J510))</f>
        <v>0</v>
      </c>
      <c r="K511" s="416">
        <f>IF(K$505&gt;$A511,$A511-$A510,K$505-SUM(K$508:K510))</f>
        <v>0</v>
      </c>
      <c r="L511" s="416">
        <f>IF(L$505&gt;$A511,$A511-$A510,L$505-SUM(L$508:L510))</f>
        <v>0</v>
      </c>
      <c r="M511" s="283"/>
      <c r="N511" s="405">
        <f t="shared" si="203"/>
        <v>1.35</v>
      </c>
      <c r="O511" s="95">
        <f t="shared" si="203"/>
        <v>1.35</v>
      </c>
      <c r="P511" s="95">
        <f t="shared" si="203"/>
        <v>1.35</v>
      </c>
      <c r="Q511" s="95">
        <f t="shared" si="203"/>
        <v>1.1879999999999999</v>
      </c>
      <c r="R511" s="95">
        <f t="shared" si="203"/>
        <v>0.45224999999999999</v>
      </c>
      <c r="S511" s="95">
        <f t="shared" si="203"/>
        <v>0.31500000000000011</v>
      </c>
      <c r="T511" s="95">
        <f t="shared" si="203"/>
        <v>8.9999999999999886E-2</v>
      </c>
      <c r="U511" s="95">
        <f t="shared" si="203"/>
        <v>0</v>
      </c>
      <c r="V511" s="95">
        <f t="shared" si="203"/>
        <v>0</v>
      </c>
      <c r="W511" s="95">
        <f t="shared" si="203"/>
        <v>0</v>
      </c>
      <c r="X511" s="283"/>
    </row>
    <row r="512" spans="1:24" s="8" customFormat="1" outlineLevel="2">
      <c r="A512" s="416">
        <f>D$55</f>
        <v>10</v>
      </c>
      <c r="B512" s="416">
        <f>B$55</f>
        <v>0.42</v>
      </c>
      <c r="C512" s="411">
        <f>IF(C$505&gt;$A512,$A512-$A511,C$505-SUM(C$508:C511))</f>
        <v>3.8999999999999986</v>
      </c>
      <c r="D512" s="416">
        <f>IF(D$505&gt;$A512,$A512-$A511,D$505-SUM(D$508:D511))</f>
        <v>2.2000000000000011</v>
      </c>
      <c r="E512" s="416">
        <f>IF(E$505&gt;$A512,$A512-$A511,E$505-SUM(E$508:E511))</f>
        <v>0.89000000000000057</v>
      </c>
      <c r="F512" s="416">
        <f>IF(F$505&gt;$A512,$A512-$A511,F$505-SUM(F$508:F511))</f>
        <v>0</v>
      </c>
      <c r="G512" s="416">
        <f>IF(G$505&gt;$A512,$A512-$A511,G$505-SUM(G$508:G511))</f>
        <v>0</v>
      </c>
      <c r="H512" s="416">
        <f>IF(H$505&gt;$A512,$A512-$A511,H$505-SUM(H$508:H511))</f>
        <v>0</v>
      </c>
      <c r="I512" s="416">
        <f>IF(I$505&gt;$A512,$A512-$A511,I$505-SUM(I$508:I511))</f>
        <v>0</v>
      </c>
      <c r="J512" s="416">
        <f>IF(J$505&gt;$A512,$A512-$A511,J$505-SUM(J$508:J511))</f>
        <v>0</v>
      </c>
      <c r="K512" s="416">
        <f>IF(K$505&gt;$A512,$A512-$A511,K$505-SUM(K$508:K511))</f>
        <v>0</v>
      </c>
      <c r="L512" s="416">
        <f>IF(L$505&gt;$A512,$A512-$A511,L$505-SUM(L$508:L511))</f>
        <v>0</v>
      </c>
      <c r="M512" s="283"/>
      <c r="N512" s="405">
        <f t="shared" si="203"/>
        <v>1.6379999999999992</v>
      </c>
      <c r="O512" s="95">
        <f t="shared" si="203"/>
        <v>0.92400000000000038</v>
      </c>
      <c r="P512" s="95">
        <f t="shared" si="203"/>
        <v>0.37380000000000024</v>
      </c>
      <c r="Q512" s="95">
        <f t="shared" si="203"/>
        <v>0</v>
      </c>
      <c r="R512" s="95">
        <f t="shared" si="203"/>
        <v>0</v>
      </c>
      <c r="S512" s="95">
        <f t="shared" si="203"/>
        <v>0</v>
      </c>
      <c r="T512" s="95">
        <f t="shared" si="203"/>
        <v>0</v>
      </c>
      <c r="U512" s="95">
        <f t="shared" si="203"/>
        <v>0</v>
      </c>
      <c r="V512" s="95">
        <f t="shared" si="203"/>
        <v>0</v>
      </c>
      <c r="W512" s="95">
        <f t="shared" si="203"/>
        <v>0</v>
      </c>
      <c r="X512" s="283"/>
    </row>
    <row r="513" spans="1:24" s="8" customFormat="1" outlineLevel="2">
      <c r="A513" s="416">
        <f>D$56</f>
        <v>20</v>
      </c>
      <c r="B513" s="416">
        <f>B$56</f>
        <v>0.22</v>
      </c>
      <c r="C513" s="411">
        <f>IF(C$505&gt;$A513,$A513-$A512,C$505-SUM(C$508:C512))</f>
        <v>0</v>
      </c>
      <c r="D513" s="416">
        <f>IF(D$505&gt;$A513,$A513-$A512,D$505-SUM(D$508:D512))</f>
        <v>0</v>
      </c>
      <c r="E513" s="416">
        <f>IF(E$505&gt;$A513,$A513-$A512,E$505-SUM(E$508:E512))</f>
        <v>0</v>
      </c>
      <c r="F513" s="416">
        <f>IF(F$505&gt;$A513,$A513-$A512,F$505-SUM(F$508:F512))</f>
        <v>0</v>
      </c>
      <c r="G513" s="416">
        <f>IF(G$505&gt;$A513,$A513-$A512,G$505-SUM(G$508:G512))</f>
        <v>0</v>
      </c>
      <c r="H513" s="416">
        <f>IF(H$505&gt;$A513,$A513-$A512,H$505-SUM(H$508:H512))</f>
        <v>0</v>
      </c>
      <c r="I513" s="416">
        <f>IF(I$505&gt;$A513,$A513-$A512,I$505-SUM(I$508:I512))</f>
        <v>0</v>
      </c>
      <c r="J513" s="416">
        <f>IF(J$505&gt;$A513,$A513-$A512,J$505-SUM(J$508:J512))</f>
        <v>0</v>
      </c>
      <c r="K513" s="416">
        <f>IF(K$505&gt;$A513,$A513-$A512,K$505-SUM(K$508:K512))</f>
        <v>0</v>
      </c>
      <c r="L513" s="416">
        <f>IF(L$505&gt;$A513,$A513-$A512,L$505-SUM(L$508:L512))</f>
        <v>0</v>
      </c>
      <c r="M513" s="283"/>
      <c r="N513" s="405">
        <f t="shared" si="203"/>
        <v>0</v>
      </c>
      <c r="O513" s="95">
        <f t="shared" si="203"/>
        <v>0</v>
      </c>
      <c r="P513" s="95">
        <f t="shared" si="203"/>
        <v>0</v>
      </c>
      <c r="Q513" s="95">
        <f t="shared" si="203"/>
        <v>0</v>
      </c>
      <c r="R513" s="95">
        <f t="shared" si="203"/>
        <v>0</v>
      </c>
      <c r="S513" s="95">
        <f t="shared" si="203"/>
        <v>0</v>
      </c>
      <c r="T513" s="95">
        <f t="shared" si="203"/>
        <v>0</v>
      </c>
      <c r="U513" s="95">
        <f t="shared" si="203"/>
        <v>0</v>
      </c>
      <c r="V513" s="95">
        <f t="shared" si="203"/>
        <v>0</v>
      </c>
      <c r="W513" s="95">
        <f t="shared" si="203"/>
        <v>0</v>
      </c>
      <c r="X513" s="283"/>
    </row>
    <row r="514" spans="1:24" s="8" customFormat="1" outlineLevel="2">
      <c r="A514" s="416">
        <f>D$57</f>
        <v>50</v>
      </c>
      <c r="B514" s="416">
        <f>B$57</f>
        <v>0.2</v>
      </c>
      <c r="C514" s="411">
        <f>IF(C$505&gt;$A514,$A514-$A513,C$505-SUM(C$508:C513))</f>
        <v>0</v>
      </c>
      <c r="D514" s="416">
        <f>IF(D$505&gt;$A514,$A514-$A513,D$505-SUM(D$508:D513))</f>
        <v>0</v>
      </c>
      <c r="E514" s="416">
        <f>IF(E$505&gt;$A514,$A514-$A513,E$505-SUM(E$508:E513))</f>
        <v>0</v>
      </c>
      <c r="F514" s="416">
        <f>IF(F$505&gt;$A514,$A514-$A513,F$505-SUM(F$508:F513))</f>
        <v>0</v>
      </c>
      <c r="G514" s="416">
        <f>IF(G$505&gt;$A514,$A514-$A513,G$505-SUM(G$508:G513))</f>
        <v>0</v>
      </c>
      <c r="H514" s="416">
        <f>IF(H$505&gt;$A514,$A514-$A513,H$505-SUM(H$508:H513))</f>
        <v>0</v>
      </c>
      <c r="I514" s="416">
        <f>IF(I$505&gt;$A514,$A514-$A513,I$505-SUM(I$508:I513))</f>
        <v>0</v>
      </c>
      <c r="J514" s="416">
        <f>IF(J$505&gt;$A514,$A514-$A513,J$505-SUM(J$508:J513))</f>
        <v>0</v>
      </c>
      <c r="K514" s="416">
        <f>IF(K$505&gt;$A514,$A514-$A513,K$505-SUM(K$508:K513))</f>
        <v>0</v>
      </c>
      <c r="L514" s="416">
        <f>IF(L$505&gt;$A514,$A514-$A513,L$505-SUM(L$508:L513))</f>
        <v>0</v>
      </c>
      <c r="M514" s="283"/>
      <c r="N514" s="405">
        <f t="shared" si="203"/>
        <v>0</v>
      </c>
      <c r="O514" s="95">
        <f t="shared" si="203"/>
        <v>0</v>
      </c>
      <c r="P514" s="95">
        <f t="shared" si="203"/>
        <v>0</v>
      </c>
      <c r="Q514" s="95">
        <f t="shared" si="203"/>
        <v>0</v>
      </c>
      <c r="R514" s="95">
        <f t="shared" si="203"/>
        <v>0</v>
      </c>
      <c r="S514" s="95">
        <f t="shared" si="203"/>
        <v>0</v>
      </c>
      <c r="T514" s="95">
        <f t="shared" si="203"/>
        <v>0</v>
      </c>
      <c r="U514" s="95">
        <f t="shared" si="203"/>
        <v>0</v>
      </c>
      <c r="V514" s="95">
        <f t="shared" si="203"/>
        <v>0</v>
      </c>
      <c r="W514" s="95">
        <f t="shared" si="203"/>
        <v>0</v>
      </c>
      <c r="X514" s="283"/>
    </row>
    <row r="515" spans="1:24" s="8" customFormat="1" outlineLevel="2">
      <c r="A515" s="416">
        <f>D$58</f>
        <v>75</v>
      </c>
      <c r="B515" s="416">
        <f>B$58</f>
        <v>0.15</v>
      </c>
      <c r="C515" s="411">
        <f>IF(C$505&gt;$A515,$A515-$A514,C$505-SUM(C$508:C514))</f>
        <v>0</v>
      </c>
      <c r="D515" s="416">
        <f>IF(D$505&gt;$A515,$A515-$A514,D$505-SUM(D$508:D514))</f>
        <v>0</v>
      </c>
      <c r="E515" s="416">
        <f>IF(E$505&gt;$A515,$A515-$A514,E$505-SUM(E$508:E514))</f>
        <v>0</v>
      </c>
      <c r="F515" s="416">
        <f>IF(F$505&gt;$A515,$A515-$A514,F$505-SUM(F$508:F514))</f>
        <v>0</v>
      </c>
      <c r="G515" s="416">
        <f>IF(G$505&gt;$A515,$A515-$A514,G$505-SUM(G$508:G514))</f>
        <v>0</v>
      </c>
      <c r="H515" s="416">
        <f>IF(H$505&gt;$A515,$A515-$A514,H$505-SUM(H$508:H514))</f>
        <v>0</v>
      </c>
      <c r="I515" s="416">
        <f>IF(I$505&gt;$A515,$A515-$A514,I$505-SUM(I$508:I514))</f>
        <v>0</v>
      </c>
      <c r="J515" s="416">
        <f>IF(J$505&gt;$A515,$A515-$A514,J$505-SUM(J$508:J514))</f>
        <v>0</v>
      </c>
      <c r="K515" s="416">
        <f>IF(K$505&gt;$A515,$A515-$A514,K$505-SUM(K$508:K514))</f>
        <v>0</v>
      </c>
      <c r="L515" s="416">
        <f>IF(L$505&gt;$A515,$A515-$A514,L$505-SUM(L$508:L514))</f>
        <v>0</v>
      </c>
      <c r="M515" s="283"/>
      <c r="N515" s="405">
        <f t="shared" si="203"/>
        <v>0</v>
      </c>
      <c r="O515" s="95">
        <f t="shared" si="203"/>
        <v>0</v>
      </c>
      <c r="P515" s="95">
        <f t="shared" si="203"/>
        <v>0</v>
      </c>
      <c r="Q515" s="95">
        <f t="shared" si="203"/>
        <v>0</v>
      </c>
      <c r="R515" s="95">
        <f t="shared" si="203"/>
        <v>0</v>
      </c>
      <c r="S515" s="95">
        <f t="shared" si="203"/>
        <v>0</v>
      </c>
      <c r="T515" s="95">
        <f t="shared" si="203"/>
        <v>0</v>
      </c>
      <c r="U515" s="95">
        <f t="shared" si="203"/>
        <v>0</v>
      </c>
      <c r="V515" s="95">
        <f t="shared" si="203"/>
        <v>0</v>
      </c>
      <c r="W515" s="95">
        <f t="shared" si="203"/>
        <v>0</v>
      </c>
      <c r="X515" s="283"/>
    </row>
    <row r="516" spans="1:24" s="8" customFormat="1" outlineLevel="2">
      <c r="A516" s="416">
        <f>D$59</f>
        <v>9999</v>
      </c>
      <c r="B516" s="416">
        <f>B$59</f>
        <v>0.1</v>
      </c>
      <c r="C516" s="411">
        <f>IF(C$505&gt;$A516,$A516-$A515,C$505-SUM(C$508:C515))</f>
        <v>0</v>
      </c>
      <c r="D516" s="416">
        <f>IF(D$505&gt;$A516,$A516-$A515,D$505-SUM(D$508:D515))</f>
        <v>0</v>
      </c>
      <c r="E516" s="416">
        <f>IF(E$505&gt;$A516,$A516-$A515,E$505-SUM(E$508:E515))</f>
        <v>0</v>
      </c>
      <c r="F516" s="416">
        <f>IF(F$505&gt;$A516,$A516-$A515,F$505-SUM(F$508:F515))</f>
        <v>0</v>
      </c>
      <c r="G516" s="416">
        <f>IF(G$505&gt;$A516,$A516-$A515,G$505-SUM(G$508:G515))</f>
        <v>0</v>
      </c>
      <c r="H516" s="416">
        <f>IF(H$505&gt;$A516,$A516-$A515,H$505-SUM(H$508:H515))</f>
        <v>0</v>
      </c>
      <c r="I516" s="416">
        <f>IF(I$505&gt;$A516,$A516-$A515,I$505-SUM(I$508:I515))</f>
        <v>0</v>
      </c>
      <c r="J516" s="416">
        <f>IF(J$505&gt;$A516,$A516-$A515,J$505-SUM(J$508:J515))</f>
        <v>0</v>
      </c>
      <c r="K516" s="416">
        <f>IF(K$505&gt;$A516,$A516-$A515,K$505-SUM(K$508:K515))</f>
        <v>0</v>
      </c>
      <c r="L516" s="416">
        <f>IF(L$505&gt;$A516,$A516-$A515,L$505-SUM(L$508:L515))</f>
        <v>0</v>
      </c>
      <c r="M516" s="283"/>
      <c r="N516" s="405">
        <f t="shared" si="203"/>
        <v>0</v>
      </c>
      <c r="O516" s="95">
        <f t="shared" si="203"/>
        <v>0</v>
      </c>
      <c r="P516" s="95">
        <f t="shared" si="203"/>
        <v>0</v>
      </c>
      <c r="Q516" s="95">
        <f t="shared" si="203"/>
        <v>0</v>
      </c>
      <c r="R516" s="95">
        <f t="shared" si="203"/>
        <v>0</v>
      </c>
      <c r="S516" s="95">
        <f t="shared" si="203"/>
        <v>0</v>
      </c>
      <c r="T516" s="95">
        <f t="shared" si="203"/>
        <v>0</v>
      </c>
      <c r="U516" s="95">
        <f t="shared" si="203"/>
        <v>0</v>
      </c>
      <c r="V516" s="95">
        <f t="shared" si="203"/>
        <v>0</v>
      </c>
      <c r="W516" s="95">
        <f t="shared" si="203"/>
        <v>0</v>
      </c>
      <c r="X516" s="283"/>
    </row>
    <row r="517" spans="1:24" s="8" customFormat="1" outlineLevel="1">
      <c r="A517" s="404"/>
      <c r="B517" s="417" t="str">
        <f>CONCATENATE(B504," Total")</f>
        <v>Panasonic Total</v>
      </c>
      <c r="C517" s="418">
        <f>SUM(C508:C516)</f>
        <v>8.8999999999999986</v>
      </c>
      <c r="D517" s="419">
        <f t="shared" ref="D517:L517" si="204">SUM(D508:D516)</f>
        <v>7.2000000000000011</v>
      </c>
      <c r="E517" s="419">
        <f t="shared" si="204"/>
        <v>5.8900000000000006</v>
      </c>
      <c r="F517" s="419">
        <f t="shared" si="204"/>
        <v>4.6399999999999997</v>
      </c>
      <c r="G517" s="419">
        <f t="shared" si="204"/>
        <v>3.0049999999999999</v>
      </c>
      <c r="H517" s="419">
        <f t="shared" si="204"/>
        <v>2.7</v>
      </c>
      <c r="I517" s="419">
        <f t="shared" si="204"/>
        <v>2.1999999999999997</v>
      </c>
      <c r="J517" s="419">
        <f t="shared" si="204"/>
        <v>0.30000000000000004</v>
      </c>
      <c r="K517" s="419">
        <f t="shared" si="204"/>
        <v>0</v>
      </c>
      <c r="L517" s="419">
        <f t="shared" si="204"/>
        <v>0</v>
      </c>
      <c r="M517" s="283"/>
      <c r="N517" s="420">
        <f>SUM(N508:N516)</f>
        <v>4.5479999999999992</v>
      </c>
      <c r="O517" s="420">
        <f t="shared" ref="O517:W517" si="205">SUM(O508:O516)</f>
        <v>3.8340000000000005</v>
      </c>
      <c r="P517" s="420">
        <f t="shared" si="205"/>
        <v>3.2838000000000003</v>
      </c>
      <c r="Q517" s="420">
        <f t="shared" si="205"/>
        <v>2.7480000000000002</v>
      </c>
      <c r="R517" s="420">
        <f t="shared" si="205"/>
        <v>2.0122499999999999</v>
      </c>
      <c r="S517" s="420">
        <f t="shared" si="205"/>
        <v>1.8750000000000002</v>
      </c>
      <c r="T517" s="420">
        <f t="shared" si="205"/>
        <v>1.65</v>
      </c>
      <c r="U517" s="420">
        <f t="shared" si="205"/>
        <v>0.29400000000000004</v>
      </c>
      <c r="V517" s="420">
        <f t="shared" si="205"/>
        <v>0</v>
      </c>
      <c r="W517" s="420">
        <f t="shared" si="205"/>
        <v>0</v>
      </c>
      <c r="X517" s="283"/>
    </row>
    <row r="518" spans="1:24" s="8" customFormat="1" outlineLevel="1">
      <c r="B518" s="421" t="s">
        <v>778</v>
      </c>
      <c r="C518" s="422">
        <f t="shared" ref="C518:L518" si="206">C517-C505</f>
        <v>0</v>
      </c>
      <c r="D518" s="423">
        <f t="shared" si="206"/>
        <v>0</v>
      </c>
      <c r="E518" s="423">
        <f t="shared" si="206"/>
        <v>0</v>
      </c>
      <c r="F518" s="423">
        <f t="shared" si="206"/>
        <v>0</v>
      </c>
      <c r="G518" s="423">
        <f t="shared" si="206"/>
        <v>0</v>
      </c>
      <c r="H518" s="423">
        <f t="shared" si="206"/>
        <v>0</v>
      </c>
      <c r="I518" s="423">
        <f t="shared" si="206"/>
        <v>0</v>
      </c>
      <c r="J518" s="423">
        <f t="shared" si="206"/>
        <v>0</v>
      </c>
      <c r="K518" s="423">
        <f t="shared" si="206"/>
        <v>0</v>
      </c>
      <c r="L518" s="423">
        <f t="shared" si="206"/>
        <v>0</v>
      </c>
      <c r="M518" s="283"/>
      <c r="N518" s="283"/>
      <c r="O518" s="283"/>
      <c r="P518" s="283"/>
      <c r="Q518" s="283"/>
      <c r="R518" s="283"/>
      <c r="S518" s="283"/>
      <c r="T518" s="283"/>
      <c r="U518" s="283"/>
      <c r="V518" s="283"/>
      <c r="W518" s="283"/>
      <c r="X518" s="283"/>
    </row>
    <row r="519" spans="1:24" s="8" customFormat="1" outlineLevel="1">
      <c r="M519" s="283"/>
      <c r="X519" s="283"/>
    </row>
    <row r="520" spans="1:24" s="8" customFormat="1" outlineLevel="1" collapsed="1">
      <c r="A520" s="8">
        <f>A504+1</f>
        <v>22</v>
      </c>
      <c r="B520" s="424" t="str">
        <f>A161</f>
        <v>Pantech</v>
      </c>
      <c r="C520" s="80">
        <v>2007</v>
      </c>
      <c r="D520" s="66">
        <f>C520+1</f>
        <v>2008</v>
      </c>
      <c r="E520" s="66">
        <f t="shared" ref="E520:L520" si="207">D520+1</f>
        <v>2009</v>
      </c>
      <c r="F520" s="66">
        <f t="shared" si="207"/>
        <v>2010</v>
      </c>
      <c r="G520" s="66">
        <f t="shared" si="207"/>
        <v>2011</v>
      </c>
      <c r="H520" s="66">
        <f t="shared" si="207"/>
        <v>2012</v>
      </c>
      <c r="I520" s="66">
        <f t="shared" si="207"/>
        <v>2013</v>
      </c>
      <c r="J520" s="66">
        <f t="shared" si="207"/>
        <v>2014</v>
      </c>
      <c r="K520" s="66">
        <f t="shared" si="207"/>
        <v>2015</v>
      </c>
      <c r="L520" s="66">
        <f t="shared" si="207"/>
        <v>2016</v>
      </c>
      <c r="M520" s="283"/>
      <c r="N520" s="168">
        <f t="shared" ref="N520:W520" si="208">C520</f>
        <v>2007</v>
      </c>
      <c r="O520" s="66">
        <f t="shared" si="208"/>
        <v>2008</v>
      </c>
      <c r="P520" s="66">
        <f t="shared" si="208"/>
        <v>2009</v>
      </c>
      <c r="Q520" s="66">
        <f t="shared" si="208"/>
        <v>2010</v>
      </c>
      <c r="R520" s="66">
        <f t="shared" si="208"/>
        <v>2011</v>
      </c>
      <c r="S520" s="66">
        <f t="shared" si="208"/>
        <v>2012</v>
      </c>
      <c r="T520" s="66">
        <f t="shared" si="208"/>
        <v>2013</v>
      </c>
      <c r="U520" s="66">
        <f t="shared" si="208"/>
        <v>2014</v>
      </c>
      <c r="V520" s="66">
        <f t="shared" si="208"/>
        <v>2015</v>
      </c>
      <c r="W520" s="66">
        <f t="shared" si="208"/>
        <v>2016</v>
      </c>
      <c r="X520" s="283"/>
    </row>
    <row r="521" spans="1:24" s="8" customFormat="1" outlineLevel="2">
      <c r="B521" s="8" t="s">
        <v>1348</v>
      </c>
      <c r="C521" s="411">
        <f t="shared" ref="C521:L521" si="209">VLOOKUP($B520,$A$140:$K$175,C$183+1,FALSE)</f>
        <v>8.5</v>
      </c>
      <c r="D521" s="412">
        <f t="shared" si="209"/>
        <v>9.8000000000000007</v>
      </c>
      <c r="E521" s="412">
        <f t="shared" si="209"/>
        <v>9.4</v>
      </c>
      <c r="F521" s="412">
        <f t="shared" si="209"/>
        <v>11.242000000000001</v>
      </c>
      <c r="G521" s="412">
        <f t="shared" si="209"/>
        <v>12.512</v>
      </c>
      <c r="H521" s="412">
        <f t="shared" si="209"/>
        <v>7.9930000000000003</v>
      </c>
      <c r="I521" s="412">
        <f t="shared" si="209"/>
        <v>4.6740000000000004</v>
      </c>
      <c r="J521" s="412">
        <f t="shared" si="209"/>
        <v>3.8129999999999997</v>
      </c>
      <c r="K521" s="412">
        <f t="shared" si="209"/>
        <v>0</v>
      </c>
      <c r="L521" s="412">
        <f t="shared" si="209"/>
        <v>0</v>
      </c>
      <c r="M521" s="283"/>
      <c r="N521" s="283"/>
      <c r="X521" s="283"/>
    </row>
    <row r="522" spans="1:24" s="8" customFormat="1" outlineLevel="2">
      <c r="C522" s="413"/>
      <c r="D522" s="414"/>
      <c r="E522" s="414"/>
      <c r="F522" s="414"/>
      <c r="G522" s="414"/>
      <c r="H522" s="414"/>
      <c r="I522" s="414"/>
      <c r="J522" s="414"/>
      <c r="K522" s="414"/>
      <c r="L522" s="414"/>
      <c r="M522" s="283"/>
      <c r="N522" s="283"/>
      <c r="X522" s="283"/>
    </row>
    <row r="523" spans="1:24" s="8" customFormat="1" outlineLevel="2">
      <c r="A523" s="66" t="s">
        <v>1349</v>
      </c>
      <c r="B523" s="66" t="s">
        <v>1350</v>
      </c>
      <c r="C523" s="415"/>
      <c r="F523" s="9"/>
      <c r="M523" s="283"/>
      <c r="N523" s="283"/>
      <c r="X523" s="283"/>
    </row>
    <row r="524" spans="1:24" s="8" customFormat="1" outlineLevel="2">
      <c r="A524" s="416">
        <f>D$51</f>
        <v>0.5</v>
      </c>
      <c r="B524" s="416">
        <f>B$51</f>
        <v>0.98</v>
      </c>
      <c r="C524" s="411">
        <f>IF(C$521&gt;$A524,$A524,C$521)</f>
        <v>0.5</v>
      </c>
      <c r="D524" s="416">
        <f t="shared" ref="D524:L524" si="210">IF(D$521&gt;$A524,$A524,D$521)</f>
        <v>0.5</v>
      </c>
      <c r="E524" s="416">
        <f t="shared" si="210"/>
        <v>0.5</v>
      </c>
      <c r="F524" s="416">
        <f t="shared" si="210"/>
        <v>0.5</v>
      </c>
      <c r="G524" s="416">
        <f t="shared" si="210"/>
        <v>0.5</v>
      </c>
      <c r="H524" s="416">
        <f t="shared" si="210"/>
        <v>0.5</v>
      </c>
      <c r="I524" s="416">
        <f t="shared" si="210"/>
        <v>0.5</v>
      </c>
      <c r="J524" s="416">
        <f t="shared" si="210"/>
        <v>0.5</v>
      </c>
      <c r="K524" s="416">
        <f t="shared" si="210"/>
        <v>0</v>
      </c>
      <c r="L524" s="416">
        <f t="shared" si="210"/>
        <v>0</v>
      </c>
      <c r="M524" s="283"/>
      <c r="N524" s="405">
        <f t="shared" ref="N524:W532" si="211">C524*$B524</f>
        <v>0.49</v>
      </c>
      <c r="O524" s="95">
        <f t="shared" si="211"/>
        <v>0.49</v>
      </c>
      <c r="P524" s="95">
        <f t="shared" si="211"/>
        <v>0.49</v>
      </c>
      <c r="Q524" s="95">
        <f t="shared" si="211"/>
        <v>0.49</v>
      </c>
      <c r="R524" s="95">
        <f t="shared" si="211"/>
        <v>0.49</v>
      </c>
      <c r="S524" s="95">
        <f t="shared" si="211"/>
        <v>0.49</v>
      </c>
      <c r="T524" s="95">
        <f t="shared" si="211"/>
        <v>0.49</v>
      </c>
      <c r="U524" s="95">
        <f t="shared" si="211"/>
        <v>0.49</v>
      </c>
      <c r="V524" s="95">
        <f t="shared" si="211"/>
        <v>0</v>
      </c>
      <c r="W524" s="95">
        <f t="shared" si="211"/>
        <v>0</v>
      </c>
      <c r="X524" s="283"/>
    </row>
    <row r="525" spans="1:24" s="8" customFormat="1" outlineLevel="2">
      <c r="A525" s="416">
        <f>D$52</f>
        <v>1</v>
      </c>
      <c r="B525" s="416">
        <f>B$52</f>
        <v>0.78</v>
      </c>
      <c r="C525" s="411">
        <f>IF(C$521&gt;$A525,$A525-$A524,C$521-SUM(C524:C$524))</f>
        <v>0.5</v>
      </c>
      <c r="D525" s="416">
        <f>IF(D$521&gt;$A525,$A525-$A524,D$521-SUM(D524:D$524))</f>
        <v>0.5</v>
      </c>
      <c r="E525" s="416">
        <f>IF(E$521&gt;$A525,$A525-$A524,E$521-SUM(E524:E$524))</f>
        <v>0.5</v>
      </c>
      <c r="F525" s="416">
        <f>IF(F$521&gt;$A525,$A525-$A524,F$521-SUM(F524:F$524))</f>
        <v>0.5</v>
      </c>
      <c r="G525" s="416">
        <f>IF(G$521&gt;$A525,$A525-$A524,G$521-SUM(G524:G$524))</f>
        <v>0.5</v>
      </c>
      <c r="H525" s="416">
        <f>IF(H$521&gt;$A525,$A525-$A524,H$521-SUM(H524:H$524))</f>
        <v>0.5</v>
      </c>
      <c r="I525" s="416">
        <f>IF(I$521&gt;$A525,$A525-$A524,I$521-SUM(I524:I$524))</f>
        <v>0.5</v>
      </c>
      <c r="J525" s="416">
        <f>IF(J$521&gt;$A525,$A525-$A524,J$521-SUM(J524:J$524))</f>
        <v>0.5</v>
      </c>
      <c r="K525" s="416">
        <f>IF(K$521&gt;$A525,$A525-$A524,K$521-SUM(K524:K$524))</f>
        <v>0</v>
      </c>
      <c r="L525" s="416">
        <f>IF(L$521&gt;$A525,$A525-$A524,L$521-SUM(L524:L$524))</f>
        <v>0</v>
      </c>
      <c r="M525" s="283"/>
      <c r="N525" s="405">
        <f t="shared" si="211"/>
        <v>0.39</v>
      </c>
      <c r="O525" s="95">
        <f t="shared" si="211"/>
        <v>0.39</v>
      </c>
      <c r="P525" s="95">
        <f t="shared" si="211"/>
        <v>0.39</v>
      </c>
      <c r="Q525" s="95">
        <f t="shared" si="211"/>
        <v>0.39</v>
      </c>
      <c r="R525" s="95">
        <f t="shared" si="211"/>
        <v>0.39</v>
      </c>
      <c r="S525" s="95">
        <f t="shared" si="211"/>
        <v>0.39</v>
      </c>
      <c r="T525" s="95">
        <f t="shared" si="211"/>
        <v>0.39</v>
      </c>
      <c r="U525" s="95">
        <f t="shared" si="211"/>
        <v>0.39</v>
      </c>
      <c r="V525" s="95">
        <f t="shared" si="211"/>
        <v>0</v>
      </c>
      <c r="W525" s="95">
        <f t="shared" si="211"/>
        <v>0</v>
      </c>
      <c r="X525" s="283"/>
    </row>
    <row r="526" spans="1:24" s="8" customFormat="1" outlineLevel="2">
      <c r="A526" s="416">
        <f>D$53</f>
        <v>2</v>
      </c>
      <c r="B526" s="416">
        <f>B$53</f>
        <v>0.68</v>
      </c>
      <c r="C526" s="411">
        <f>IF(C$521&gt;$A526,$A526-$A525,C$521-SUM(C$524:C525))</f>
        <v>1</v>
      </c>
      <c r="D526" s="416">
        <f>IF(D$521&gt;$A526,$A526-$A525,D$521-SUM(D$524:D525))</f>
        <v>1</v>
      </c>
      <c r="E526" s="416">
        <f>IF(E$521&gt;$A526,$A526-$A525,E$521-SUM(E$524:E525))</f>
        <v>1</v>
      </c>
      <c r="F526" s="416">
        <f>IF(F$521&gt;$A526,$A526-$A525,F$521-SUM(F$524:F525))</f>
        <v>1</v>
      </c>
      <c r="G526" s="416">
        <f>IF(G$521&gt;$A526,$A526-$A525,G$521-SUM(G$524:G525))</f>
        <v>1</v>
      </c>
      <c r="H526" s="416">
        <f>IF(H$521&gt;$A526,$A526-$A525,H$521-SUM(H$524:H525))</f>
        <v>1</v>
      </c>
      <c r="I526" s="416">
        <f>IF(I$521&gt;$A526,$A526-$A525,I$521-SUM(I$524:I525))</f>
        <v>1</v>
      </c>
      <c r="J526" s="416">
        <f>IF(J$521&gt;$A526,$A526-$A525,J$521-SUM(J$524:J525))</f>
        <v>1</v>
      </c>
      <c r="K526" s="416">
        <f>IF(K$521&gt;$A526,$A526-$A525,K$521-SUM(K$524:K525))</f>
        <v>0</v>
      </c>
      <c r="L526" s="416">
        <f>IF(L$521&gt;$A526,$A526-$A525,L$521-SUM(L$524:L525))</f>
        <v>0</v>
      </c>
      <c r="M526" s="283"/>
      <c r="N526" s="405">
        <f t="shared" si="211"/>
        <v>0.68</v>
      </c>
      <c r="O526" s="95">
        <f t="shared" si="211"/>
        <v>0.68</v>
      </c>
      <c r="P526" s="95">
        <f t="shared" si="211"/>
        <v>0.68</v>
      </c>
      <c r="Q526" s="95">
        <f t="shared" si="211"/>
        <v>0.68</v>
      </c>
      <c r="R526" s="95">
        <f t="shared" si="211"/>
        <v>0.68</v>
      </c>
      <c r="S526" s="95">
        <f t="shared" si="211"/>
        <v>0.68</v>
      </c>
      <c r="T526" s="95">
        <f t="shared" si="211"/>
        <v>0.68</v>
      </c>
      <c r="U526" s="95">
        <f t="shared" si="211"/>
        <v>0.68</v>
      </c>
      <c r="V526" s="95">
        <f t="shared" si="211"/>
        <v>0</v>
      </c>
      <c r="W526" s="95">
        <f t="shared" si="211"/>
        <v>0</v>
      </c>
      <c r="X526" s="283"/>
    </row>
    <row r="527" spans="1:24" s="8" customFormat="1" outlineLevel="2">
      <c r="A527" s="416">
        <f>D$54</f>
        <v>5</v>
      </c>
      <c r="B527" s="416">
        <f>B$54</f>
        <v>0.45</v>
      </c>
      <c r="C527" s="411">
        <f>IF(C$521&gt;$A527,$A527-$A526,C$521-SUM(C$524:C526))</f>
        <v>3</v>
      </c>
      <c r="D527" s="416">
        <f>IF(D$521&gt;$A527,$A527-$A526,D$521-SUM(D$524:D526))</f>
        <v>3</v>
      </c>
      <c r="E527" s="416">
        <f>IF(E$521&gt;$A527,$A527-$A526,E$521-SUM(E$524:E526))</f>
        <v>3</v>
      </c>
      <c r="F527" s="416">
        <f>IF(F$521&gt;$A527,$A527-$A526,F$521-SUM(F$524:F526))</f>
        <v>3</v>
      </c>
      <c r="G527" s="416">
        <f>IF(G$521&gt;$A527,$A527-$A526,G$521-SUM(G$524:G526))</f>
        <v>3</v>
      </c>
      <c r="H527" s="416">
        <f>IF(H$521&gt;$A527,$A527-$A526,H$521-SUM(H$524:H526))</f>
        <v>3</v>
      </c>
      <c r="I527" s="416">
        <f>IF(I$521&gt;$A527,$A527-$A526,I$521-SUM(I$524:I526))</f>
        <v>2.6740000000000004</v>
      </c>
      <c r="J527" s="416">
        <f>IF(J$521&gt;$A527,$A527-$A526,J$521-SUM(J$524:J526))</f>
        <v>1.8129999999999997</v>
      </c>
      <c r="K527" s="416">
        <f>IF(K$521&gt;$A527,$A527-$A526,K$521-SUM(K$524:K526))</f>
        <v>0</v>
      </c>
      <c r="L527" s="416">
        <f>IF(L$521&gt;$A527,$A527-$A526,L$521-SUM(L$524:L526))</f>
        <v>0</v>
      </c>
      <c r="M527" s="283"/>
      <c r="N527" s="405">
        <f t="shared" si="211"/>
        <v>1.35</v>
      </c>
      <c r="O527" s="95">
        <f t="shared" si="211"/>
        <v>1.35</v>
      </c>
      <c r="P527" s="95">
        <f t="shared" si="211"/>
        <v>1.35</v>
      </c>
      <c r="Q527" s="95">
        <f t="shared" si="211"/>
        <v>1.35</v>
      </c>
      <c r="R527" s="95">
        <f t="shared" si="211"/>
        <v>1.35</v>
      </c>
      <c r="S527" s="95">
        <f t="shared" si="211"/>
        <v>1.35</v>
      </c>
      <c r="T527" s="95">
        <f t="shared" si="211"/>
        <v>1.2033000000000003</v>
      </c>
      <c r="U527" s="95">
        <f t="shared" si="211"/>
        <v>0.81584999999999985</v>
      </c>
      <c r="V527" s="95">
        <f t="shared" si="211"/>
        <v>0</v>
      </c>
      <c r="W527" s="95">
        <f t="shared" si="211"/>
        <v>0</v>
      </c>
      <c r="X527" s="283"/>
    </row>
    <row r="528" spans="1:24" s="8" customFormat="1" outlineLevel="2">
      <c r="A528" s="416">
        <f>D$55</f>
        <v>10</v>
      </c>
      <c r="B528" s="416">
        <f>B$55</f>
        <v>0.42</v>
      </c>
      <c r="C528" s="411">
        <f>IF(C$521&gt;$A528,$A528-$A527,C$521-SUM(C$524:C527))</f>
        <v>3.5</v>
      </c>
      <c r="D528" s="416">
        <f>IF(D$521&gt;$A528,$A528-$A527,D$521-SUM(D$524:D527))</f>
        <v>4.8000000000000007</v>
      </c>
      <c r="E528" s="416">
        <f>IF(E$521&gt;$A528,$A528-$A527,E$521-SUM(E$524:E527))</f>
        <v>4.4000000000000004</v>
      </c>
      <c r="F528" s="416">
        <f>IF(F$521&gt;$A528,$A528-$A527,F$521-SUM(F$524:F527))</f>
        <v>5</v>
      </c>
      <c r="G528" s="416">
        <f>IF(G$521&gt;$A528,$A528-$A527,G$521-SUM(G$524:G527))</f>
        <v>5</v>
      </c>
      <c r="H528" s="416">
        <f>IF(H$521&gt;$A528,$A528-$A527,H$521-SUM(H$524:H527))</f>
        <v>2.9930000000000003</v>
      </c>
      <c r="I528" s="416">
        <f>IF(I$521&gt;$A528,$A528-$A527,I$521-SUM(I$524:I527))</f>
        <v>0</v>
      </c>
      <c r="J528" s="416">
        <f>IF(J$521&gt;$A528,$A528-$A527,J$521-SUM(J$524:J527))</f>
        <v>0</v>
      </c>
      <c r="K528" s="416">
        <f>IF(K$521&gt;$A528,$A528-$A527,K$521-SUM(K$524:K527))</f>
        <v>0</v>
      </c>
      <c r="L528" s="416">
        <f>IF(L$521&gt;$A528,$A528-$A527,L$521-SUM(L$524:L527))</f>
        <v>0</v>
      </c>
      <c r="M528" s="283"/>
      <c r="N528" s="405">
        <f t="shared" si="211"/>
        <v>1.47</v>
      </c>
      <c r="O528" s="95">
        <f t="shared" si="211"/>
        <v>2.016</v>
      </c>
      <c r="P528" s="95">
        <f t="shared" si="211"/>
        <v>1.8480000000000001</v>
      </c>
      <c r="Q528" s="95">
        <f t="shared" si="211"/>
        <v>2.1</v>
      </c>
      <c r="R528" s="95">
        <f t="shared" si="211"/>
        <v>2.1</v>
      </c>
      <c r="S528" s="95">
        <f t="shared" si="211"/>
        <v>1.2570600000000001</v>
      </c>
      <c r="T528" s="95">
        <f t="shared" si="211"/>
        <v>0</v>
      </c>
      <c r="U528" s="95">
        <f t="shared" si="211"/>
        <v>0</v>
      </c>
      <c r="V528" s="95">
        <f t="shared" si="211"/>
        <v>0</v>
      </c>
      <c r="W528" s="95">
        <f t="shared" si="211"/>
        <v>0</v>
      </c>
      <c r="X528" s="283"/>
    </row>
    <row r="529" spans="1:24" s="8" customFormat="1" outlineLevel="2">
      <c r="A529" s="416">
        <f>D$56</f>
        <v>20</v>
      </c>
      <c r="B529" s="416">
        <f>B$56</f>
        <v>0.22</v>
      </c>
      <c r="C529" s="411">
        <f>IF(C$521&gt;$A529,$A529-$A528,C$521-SUM(C$524:C528))</f>
        <v>0</v>
      </c>
      <c r="D529" s="416">
        <f>IF(D$521&gt;$A529,$A529-$A528,D$521-SUM(D$524:D528))</f>
        <v>0</v>
      </c>
      <c r="E529" s="416">
        <f>IF(E$521&gt;$A529,$A529-$A528,E$521-SUM(E$524:E528))</f>
        <v>0</v>
      </c>
      <c r="F529" s="416">
        <f>IF(F$521&gt;$A529,$A529-$A528,F$521-SUM(F$524:F528))</f>
        <v>1.2420000000000009</v>
      </c>
      <c r="G529" s="416">
        <f>IF(G$521&gt;$A529,$A529-$A528,G$521-SUM(G$524:G528))</f>
        <v>2.5120000000000005</v>
      </c>
      <c r="H529" s="416">
        <f>IF(H$521&gt;$A529,$A529-$A528,H$521-SUM(H$524:H528))</f>
        <v>0</v>
      </c>
      <c r="I529" s="416">
        <f>IF(I$521&gt;$A529,$A529-$A528,I$521-SUM(I$524:I528))</f>
        <v>0</v>
      </c>
      <c r="J529" s="416">
        <f>IF(J$521&gt;$A529,$A529-$A528,J$521-SUM(J$524:J528))</f>
        <v>0</v>
      </c>
      <c r="K529" s="416">
        <f>IF(K$521&gt;$A529,$A529-$A528,K$521-SUM(K$524:K528))</f>
        <v>0</v>
      </c>
      <c r="L529" s="416">
        <f>IF(L$521&gt;$A529,$A529-$A528,L$521-SUM(L$524:L528))</f>
        <v>0</v>
      </c>
      <c r="M529" s="283"/>
      <c r="N529" s="405">
        <f t="shared" si="211"/>
        <v>0</v>
      </c>
      <c r="O529" s="95">
        <f t="shared" si="211"/>
        <v>0</v>
      </c>
      <c r="P529" s="95">
        <f t="shared" si="211"/>
        <v>0</v>
      </c>
      <c r="Q529" s="95">
        <f t="shared" si="211"/>
        <v>0.2732400000000002</v>
      </c>
      <c r="R529" s="95">
        <f t="shared" si="211"/>
        <v>0.55264000000000013</v>
      </c>
      <c r="S529" s="95">
        <f t="shared" si="211"/>
        <v>0</v>
      </c>
      <c r="T529" s="95">
        <f t="shared" si="211"/>
        <v>0</v>
      </c>
      <c r="U529" s="95">
        <f t="shared" si="211"/>
        <v>0</v>
      </c>
      <c r="V529" s="95">
        <f t="shared" si="211"/>
        <v>0</v>
      </c>
      <c r="W529" s="95">
        <f t="shared" si="211"/>
        <v>0</v>
      </c>
      <c r="X529" s="283"/>
    </row>
    <row r="530" spans="1:24" s="8" customFormat="1" outlineLevel="2">
      <c r="A530" s="416">
        <f>D$57</f>
        <v>50</v>
      </c>
      <c r="B530" s="416">
        <f>B$57</f>
        <v>0.2</v>
      </c>
      <c r="C530" s="411">
        <f>IF(C$521&gt;$A530,$A530-$A529,C$521-SUM(C$524:C529))</f>
        <v>0</v>
      </c>
      <c r="D530" s="416">
        <f>IF(D$521&gt;$A530,$A530-$A529,D$521-SUM(D$524:D529))</f>
        <v>0</v>
      </c>
      <c r="E530" s="416">
        <f>IF(E$521&gt;$A530,$A530-$A529,E$521-SUM(E$524:E529))</f>
        <v>0</v>
      </c>
      <c r="F530" s="416">
        <f>IF(F$521&gt;$A530,$A530-$A529,F$521-SUM(F$524:F529))</f>
        <v>0</v>
      </c>
      <c r="G530" s="416">
        <f>IF(G$521&gt;$A530,$A530-$A529,G$521-SUM(G$524:G529))</f>
        <v>0</v>
      </c>
      <c r="H530" s="416">
        <f>IF(H$521&gt;$A530,$A530-$A529,H$521-SUM(H$524:H529))</f>
        <v>0</v>
      </c>
      <c r="I530" s="416">
        <f>IF(I$521&gt;$A530,$A530-$A529,I$521-SUM(I$524:I529))</f>
        <v>0</v>
      </c>
      <c r="J530" s="416">
        <f>IF(J$521&gt;$A530,$A530-$A529,J$521-SUM(J$524:J529))</f>
        <v>0</v>
      </c>
      <c r="K530" s="416">
        <f>IF(K$521&gt;$A530,$A530-$A529,K$521-SUM(K$524:K529))</f>
        <v>0</v>
      </c>
      <c r="L530" s="416">
        <f>IF(L$521&gt;$A530,$A530-$A529,L$521-SUM(L$524:L529))</f>
        <v>0</v>
      </c>
      <c r="M530" s="283"/>
      <c r="N530" s="405">
        <f t="shared" si="211"/>
        <v>0</v>
      </c>
      <c r="O530" s="95">
        <f t="shared" si="211"/>
        <v>0</v>
      </c>
      <c r="P530" s="95">
        <f t="shared" si="211"/>
        <v>0</v>
      </c>
      <c r="Q530" s="95">
        <f t="shared" si="211"/>
        <v>0</v>
      </c>
      <c r="R530" s="95">
        <f t="shared" si="211"/>
        <v>0</v>
      </c>
      <c r="S530" s="95">
        <f t="shared" si="211"/>
        <v>0</v>
      </c>
      <c r="T530" s="95">
        <f t="shared" si="211"/>
        <v>0</v>
      </c>
      <c r="U530" s="95">
        <f t="shared" si="211"/>
        <v>0</v>
      </c>
      <c r="V530" s="95">
        <f t="shared" si="211"/>
        <v>0</v>
      </c>
      <c r="W530" s="95">
        <f t="shared" si="211"/>
        <v>0</v>
      </c>
      <c r="X530" s="283"/>
    </row>
    <row r="531" spans="1:24" s="8" customFormat="1" outlineLevel="2">
      <c r="A531" s="416">
        <f>D$58</f>
        <v>75</v>
      </c>
      <c r="B531" s="416">
        <f>B$58</f>
        <v>0.15</v>
      </c>
      <c r="C531" s="411">
        <f>IF(C$521&gt;$A531,$A531-$A530,C$521-SUM(C$524:C530))</f>
        <v>0</v>
      </c>
      <c r="D531" s="416">
        <f>IF(D$521&gt;$A531,$A531-$A530,D$521-SUM(D$524:D530))</f>
        <v>0</v>
      </c>
      <c r="E531" s="416">
        <f>IF(E$521&gt;$A531,$A531-$A530,E$521-SUM(E$524:E530))</f>
        <v>0</v>
      </c>
      <c r="F531" s="416">
        <f>IF(F$521&gt;$A531,$A531-$A530,F$521-SUM(F$524:F530))</f>
        <v>0</v>
      </c>
      <c r="G531" s="416">
        <f>IF(G$521&gt;$A531,$A531-$A530,G$521-SUM(G$524:G530))</f>
        <v>0</v>
      </c>
      <c r="H531" s="416">
        <f>IF(H$521&gt;$A531,$A531-$A530,H$521-SUM(H$524:H530))</f>
        <v>0</v>
      </c>
      <c r="I531" s="416">
        <f>IF(I$521&gt;$A531,$A531-$A530,I$521-SUM(I$524:I530))</f>
        <v>0</v>
      </c>
      <c r="J531" s="416">
        <f>IF(J$521&gt;$A531,$A531-$A530,J$521-SUM(J$524:J530))</f>
        <v>0</v>
      </c>
      <c r="K531" s="416">
        <f>IF(K$521&gt;$A531,$A531-$A530,K$521-SUM(K$524:K530))</f>
        <v>0</v>
      </c>
      <c r="L531" s="416">
        <f>IF(L$521&gt;$A531,$A531-$A530,L$521-SUM(L$524:L530))</f>
        <v>0</v>
      </c>
      <c r="M531" s="283"/>
      <c r="N531" s="405">
        <f t="shared" si="211"/>
        <v>0</v>
      </c>
      <c r="O531" s="95">
        <f t="shared" si="211"/>
        <v>0</v>
      </c>
      <c r="P531" s="95">
        <f t="shared" si="211"/>
        <v>0</v>
      </c>
      <c r="Q531" s="95">
        <f t="shared" si="211"/>
        <v>0</v>
      </c>
      <c r="R531" s="95">
        <f t="shared" si="211"/>
        <v>0</v>
      </c>
      <c r="S531" s="95">
        <f t="shared" si="211"/>
        <v>0</v>
      </c>
      <c r="T531" s="95">
        <f t="shared" si="211"/>
        <v>0</v>
      </c>
      <c r="U531" s="95">
        <f t="shared" si="211"/>
        <v>0</v>
      </c>
      <c r="V531" s="95">
        <f t="shared" si="211"/>
        <v>0</v>
      </c>
      <c r="W531" s="95">
        <f t="shared" si="211"/>
        <v>0</v>
      </c>
      <c r="X531" s="283"/>
    </row>
    <row r="532" spans="1:24" s="8" customFormat="1" outlineLevel="2">
      <c r="A532" s="416">
        <f>D$59</f>
        <v>9999</v>
      </c>
      <c r="B532" s="416">
        <f>B$59</f>
        <v>0.1</v>
      </c>
      <c r="C532" s="411">
        <f>IF(C$521&gt;$A532,$A532-$A531,C$521-SUM(C$524:C531))</f>
        <v>0</v>
      </c>
      <c r="D532" s="416">
        <f>IF(D$521&gt;$A532,$A532-$A531,D$521-SUM(D$524:D531))</f>
        <v>0</v>
      </c>
      <c r="E532" s="416">
        <f>IF(E$521&gt;$A532,$A532-$A531,E$521-SUM(E$524:E531))</f>
        <v>0</v>
      </c>
      <c r="F532" s="416">
        <f>IF(F$521&gt;$A532,$A532-$A531,F$521-SUM(F$524:F531))</f>
        <v>0</v>
      </c>
      <c r="G532" s="416">
        <f>IF(G$521&gt;$A532,$A532-$A531,G$521-SUM(G$524:G531))</f>
        <v>0</v>
      </c>
      <c r="H532" s="416">
        <f>IF(H$521&gt;$A532,$A532-$A531,H$521-SUM(H$524:H531))</f>
        <v>0</v>
      </c>
      <c r="I532" s="416">
        <f>IF(I$521&gt;$A532,$A532-$A531,I$521-SUM(I$524:I531))</f>
        <v>0</v>
      </c>
      <c r="J532" s="416">
        <f>IF(J$521&gt;$A532,$A532-$A531,J$521-SUM(J$524:J531))</f>
        <v>0</v>
      </c>
      <c r="K532" s="416">
        <f>IF(K$521&gt;$A532,$A532-$A531,K$521-SUM(K$524:K531))</f>
        <v>0</v>
      </c>
      <c r="L532" s="416">
        <f>IF(L$521&gt;$A532,$A532-$A531,L$521-SUM(L$524:L531))</f>
        <v>0</v>
      </c>
      <c r="M532" s="283"/>
      <c r="N532" s="405">
        <f t="shared" si="211"/>
        <v>0</v>
      </c>
      <c r="O532" s="95">
        <f t="shared" si="211"/>
        <v>0</v>
      </c>
      <c r="P532" s="95">
        <f t="shared" si="211"/>
        <v>0</v>
      </c>
      <c r="Q532" s="95">
        <f t="shared" si="211"/>
        <v>0</v>
      </c>
      <c r="R532" s="95">
        <f t="shared" si="211"/>
        <v>0</v>
      </c>
      <c r="S532" s="95">
        <f t="shared" si="211"/>
        <v>0</v>
      </c>
      <c r="T532" s="95">
        <f t="shared" si="211"/>
        <v>0</v>
      </c>
      <c r="U532" s="95">
        <f t="shared" si="211"/>
        <v>0</v>
      </c>
      <c r="V532" s="95">
        <f t="shared" si="211"/>
        <v>0</v>
      </c>
      <c r="W532" s="95">
        <f t="shared" si="211"/>
        <v>0</v>
      </c>
      <c r="X532" s="283"/>
    </row>
    <row r="533" spans="1:24" s="8" customFormat="1" outlineLevel="1">
      <c r="A533" s="404"/>
      <c r="B533" s="417" t="str">
        <f>CONCATENATE(B520," Total")</f>
        <v>Pantech Total</v>
      </c>
      <c r="C533" s="418">
        <f>SUM(C524:C532)</f>
        <v>8.5</v>
      </c>
      <c r="D533" s="419">
        <f t="shared" ref="D533:L533" si="212">SUM(D524:D532)</f>
        <v>9.8000000000000007</v>
      </c>
      <c r="E533" s="419">
        <f t="shared" si="212"/>
        <v>9.4</v>
      </c>
      <c r="F533" s="419">
        <f t="shared" si="212"/>
        <v>11.242000000000001</v>
      </c>
      <c r="G533" s="419">
        <f t="shared" si="212"/>
        <v>12.512</v>
      </c>
      <c r="H533" s="419">
        <f t="shared" si="212"/>
        <v>7.9930000000000003</v>
      </c>
      <c r="I533" s="419">
        <f t="shared" si="212"/>
        <v>4.6740000000000004</v>
      </c>
      <c r="J533" s="419">
        <f t="shared" si="212"/>
        <v>3.8129999999999997</v>
      </c>
      <c r="K533" s="419">
        <f t="shared" si="212"/>
        <v>0</v>
      </c>
      <c r="L533" s="419">
        <f t="shared" si="212"/>
        <v>0</v>
      </c>
      <c r="M533" s="283"/>
      <c r="N533" s="420">
        <f>SUM(N524:N532)</f>
        <v>4.38</v>
      </c>
      <c r="O533" s="420">
        <f t="shared" ref="O533:W533" si="213">SUM(O524:O532)</f>
        <v>4.9260000000000002</v>
      </c>
      <c r="P533" s="420">
        <f t="shared" si="213"/>
        <v>4.758</v>
      </c>
      <c r="Q533" s="420">
        <f t="shared" si="213"/>
        <v>5.2832400000000002</v>
      </c>
      <c r="R533" s="420">
        <f t="shared" si="213"/>
        <v>5.56264</v>
      </c>
      <c r="S533" s="420">
        <f t="shared" si="213"/>
        <v>4.1670600000000002</v>
      </c>
      <c r="T533" s="420">
        <f t="shared" si="213"/>
        <v>2.7633000000000001</v>
      </c>
      <c r="U533" s="420">
        <f t="shared" si="213"/>
        <v>2.3758499999999998</v>
      </c>
      <c r="V533" s="420">
        <f t="shared" si="213"/>
        <v>0</v>
      </c>
      <c r="W533" s="420">
        <f t="shared" si="213"/>
        <v>0</v>
      </c>
      <c r="X533" s="283"/>
    </row>
    <row r="534" spans="1:24" s="8" customFormat="1" outlineLevel="1">
      <c r="B534" s="421" t="s">
        <v>778</v>
      </c>
      <c r="C534" s="422">
        <f t="shared" ref="C534:L534" si="214">C533-C521</f>
        <v>0</v>
      </c>
      <c r="D534" s="423">
        <f t="shared" si="214"/>
        <v>0</v>
      </c>
      <c r="E534" s="423">
        <f t="shared" si="214"/>
        <v>0</v>
      </c>
      <c r="F534" s="423">
        <f t="shared" si="214"/>
        <v>0</v>
      </c>
      <c r="G534" s="423">
        <f t="shared" si="214"/>
        <v>0</v>
      </c>
      <c r="H534" s="423">
        <f t="shared" si="214"/>
        <v>0</v>
      </c>
      <c r="I534" s="423">
        <f t="shared" si="214"/>
        <v>0</v>
      </c>
      <c r="J534" s="423">
        <f t="shared" si="214"/>
        <v>0</v>
      </c>
      <c r="K534" s="423">
        <f t="shared" si="214"/>
        <v>0</v>
      </c>
      <c r="L534" s="423">
        <f t="shared" si="214"/>
        <v>0</v>
      </c>
      <c r="M534" s="283"/>
      <c r="N534" s="283"/>
      <c r="O534" s="283"/>
      <c r="P534" s="283"/>
      <c r="Q534" s="283"/>
      <c r="R534" s="283"/>
      <c r="S534" s="283"/>
      <c r="T534" s="283"/>
      <c r="U534" s="283"/>
      <c r="V534" s="283"/>
      <c r="W534" s="283"/>
      <c r="X534" s="283"/>
    </row>
    <row r="535" spans="1:24" s="8" customFormat="1" outlineLevel="1">
      <c r="C535" s="283"/>
      <c r="M535" s="283"/>
      <c r="X535" s="283"/>
    </row>
    <row r="536" spans="1:24" s="8" customFormat="1" outlineLevel="1" collapsed="1">
      <c r="A536" s="8">
        <f>A520+1</f>
        <v>23</v>
      </c>
      <c r="B536" s="424" t="str">
        <f>A162</f>
        <v>Sagem</v>
      </c>
      <c r="C536" s="80">
        <v>2007</v>
      </c>
      <c r="D536" s="66">
        <f>C536+1</f>
        <v>2008</v>
      </c>
      <c r="E536" s="66">
        <f t="shared" ref="E536:L536" si="215">D536+1</f>
        <v>2009</v>
      </c>
      <c r="F536" s="66">
        <f t="shared" si="215"/>
        <v>2010</v>
      </c>
      <c r="G536" s="66">
        <f t="shared" si="215"/>
        <v>2011</v>
      </c>
      <c r="H536" s="66">
        <f t="shared" si="215"/>
        <v>2012</v>
      </c>
      <c r="I536" s="66">
        <f t="shared" si="215"/>
        <v>2013</v>
      </c>
      <c r="J536" s="66">
        <f t="shared" si="215"/>
        <v>2014</v>
      </c>
      <c r="K536" s="66">
        <f t="shared" si="215"/>
        <v>2015</v>
      </c>
      <c r="L536" s="66">
        <f t="shared" si="215"/>
        <v>2016</v>
      </c>
      <c r="M536" s="283"/>
      <c r="N536" s="168">
        <f t="shared" ref="N536:W536" si="216">C536</f>
        <v>2007</v>
      </c>
      <c r="O536" s="66">
        <f t="shared" si="216"/>
        <v>2008</v>
      </c>
      <c r="P536" s="66">
        <f t="shared" si="216"/>
        <v>2009</v>
      </c>
      <c r="Q536" s="66">
        <f t="shared" si="216"/>
        <v>2010</v>
      </c>
      <c r="R536" s="66">
        <f t="shared" si="216"/>
        <v>2011</v>
      </c>
      <c r="S536" s="66">
        <f t="shared" si="216"/>
        <v>2012</v>
      </c>
      <c r="T536" s="66">
        <f t="shared" si="216"/>
        <v>2013</v>
      </c>
      <c r="U536" s="66">
        <f t="shared" si="216"/>
        <v>2014</v>
      </c>
      <c r="V536" s="66">
        <f t="shared" si="216"/>
        <v>2015</v>
      </c>
      <c r="W536" s="66">
        <f t="shared" si="216"/>
        <v>2016</v>
      </c>
      <c r="X536" s="283"/>
    </row>
    <row r="537" spans="1:24" s="8" customFormat="1" outlineLevel="2">
      <c r="B537" s="8" t="s">
        <v>1348</v>
      </c>
      <c r="C537" s="411">
        <f t="shared" ref="C537:L537" si="217">VLOOKUP($B536,$A$140:$K$175,C$183+1,FALSE)</f>
        <v>11.736000000000001</v>
      </c>
      <c r="D537" s="412">
        <f t="shared" si="217"/>
        <v>5.7</v>
      </c>
      <c r="E537" s="412">
        <f t="shared" si="217"/>
        <v>1.7</v>
      </c>
      <c r="F537" s="412">
        <f t="shared" si="217"/>
        <v>3</v>
      </c>
      <c r="G537" s="412">
        <f t="shared" si="217"/>
        <v>0</v>
      </c>
      <c r="H537" s="412">
        <f t="shared" si="217"/>
        <v>0</v>
      </c>
      <c r="I537" s="412">
        <f t="shared" si="217"/>
        <v>0</v>
      </c>
      <c r="J537" s="412">
        <f t="shared" si="217"/>
        <v>0</v>
      </c>
      <c r="K537" s="412">
        <f t="shared" si="217"/>
        <v>0</v>
      </c>
      <c r="L537" s="412">
        <f t="shared" si="217"/>
        <v>0</v>
      </c>
      <c r="M537" s="283"/>
      <c r="N537" s="283"/>
      <c r="X537" s="283"/>
    </row>
    <row r="538" spans="1:24" s="8" customFormat="1" outlineLevel="2">
      <c r="C538" s="413"/>
      <c r="D538" s="414"/>
      <c r="E538" s="414"/>
      <c r="F538" s="414"/>
      <c r="G538" s="414"/>
      <c r="H538" s="414"/>
      <c r="I538" s="414"/>
      <c r="J538" s="414"/>
      <c r="K538" s="414"/>
      <c r="L538" s="414"/>
      <c r="M538" s="283"/>
      <c r="N538" s="283"/>
      <c r="X538" s="283"/>
    </row>
    <row r="539" spans="1:24" s="8" customFormat="1" outlineLevel="2">
      <c r="A539" s="66" t="s">
        <v>1349</v>
      </c>
      <c r="B539" s="66" t="s">
        <v>1350</v>
      </c>
      <c r="C539" s="415"/>
      <c r="F539" s="9"/>
      <c r="M539" s="283"/>
      <c r="N539" s="283"/>
      <c r="X539" s="283"/>
    </row>
    <row r="540" spans="1:24" s="8" customFormat="1" outlineLevel="2">
      <c r="A540" s="416">
        <f>D$51</f>
        <v>0.5</v>
      </c>
      <c r="B540" s="416">
        <f>B$51</f>
        <v>0.98</v>
      </c>
      <c r="C540" s="411">
        <f>IF(C$537&gt;$A540,$A540,C$537)</f>
        <v>0.5</v>
      </c>
      <c r="D540" s="416">
        <f t="shared" ref="D540:L540" si="218">IF(D$537&gt;$A540,$A540,D$537)</f>
        <v>0.5</v>
      </c>
      <c r="E540" s="416">
        <f t="shared" si="218"/>
        <v>0.5</v>
      </c>
      <c r="F540" s="416">
        <f t="shared" si="218"/>
        <v>0.5</v>
      </c>
      <c r="G540" s="416">
        <f t="shared" si="218"/>
        <v>0</v>
      </c>
      <c r="H540" s="416">
        <f t="shared" si="218"/>
        <v>0</v>
      </c>
      <c r="I540" s="416">
        <f t="shared" si="218"/>
        <v>0</v>
      </c>
      <c r="J540" s="416">
        <f t="shared" si="218"/>
        <v>0</v>
      </c>
      <c r="K540" s="416">
        <f t="shared" si="218"/>
        <v>0</v>
      </c>
      <c r="L540" s="416">
        <f t="shared" si="218"/>
        <v>0</v>
      </c>
      <c r="M540" s="283"/>
      <c r="N540" s="405">
        <f t="shared" ref="N540:W548" si="219">C540*$B540</f>
        <v>0.49</v>
      </c>
      <c r="O540" s="95">
        <f t="shared" si="219"/>
        <v>0.49</v>
      </c>
      <c r="P540" s="95">
        <f t="shared" si="219"/>
        <v>0.49</v>
      </c>
      <c r="Q540" s="95">
        <f t="shared" si="219"/>
        <v>0.49</v>
      </c>
      <c r="R540" s="95">
        <f t="shared" si="219"/>
        <v>0</v>
      </c>
      <c r="S540" s="95">
        <f t="shared" si="219"/>
        <v>0</v>
      </c>
      <c r="T540" s="95">
        <f t="shared" si="219"/>
        <v>0</v>
      </c>
      <c r="U540" s="95">
        <f t="shared" si="219"/>
        <v>0</v>
      </c>
      <c r="V540" s="95">
        <f t="shared" si="219"/>
        <v>0</v>
      </c>
      <c r="W540" s="95">
        <f t="shared" si="219"/>
        <v>0</v>
      </c>
      <c r="X540" s="283"/>
    </row>
    <row r="541" spans="1:24" s="8" customFormat="1" outlineLevel="2">
      <c r="A541" s="416">
        <f>D$52</f>
        <v>1</v>
      </c>
      <c r="B541" s="416">
        <f>B$52</f>
        <v>0.78</v>
      </c>
      <c r="C541" s="411">
        <f>IF(C$537&gt;$A541,$A541-$A540,C$537-SUM(C540:C$540))</f>
        <v>0.5</v>
      </c>
      <c r="D541" s="416">
        <f>IF(D$537&gt;$A541,$A541-$A540,D$537-SUM(D540:D$540))</f>
        <v>0.5</v>
      </c>
      <c r="E541" s="416">
        <f>IF(E$537&gt;$A541,$A541-$A540,E$537-SUM(E540:E$540))</f>
        <v>0.5</v>
      </c>
      <c r="F541" s="416">
        <f>IF(F$537&gt;$A541,$A541-$A540,F$537-SUM(F540:F$540))</f>
        <v>0.5</v>
      </c>
      <c r="G541" s="416">
        <f>IF(G$537&gt;$A541,$A541-$A540,G$537-SUM(G540:G$540))</f>
        <v>0</v>
      </c>
      <c r="H541" s="416">
        <f>IF(H$537&gt;$A541,$A541-$A540,H$537-SUM(H540:H$540))</f>
        <v>0</v>
      </c>
      <c r="I541" s="416">
        <f>IF(I$537&gt;$A541,$A541-$A540,I$537-SUM(I540:I$540))</f>
        <v>0</v>
      </c>
      <c r="J541" s="416">
        <f>IF(J$537&gt;$A541,$A541-$A540,J$537-SUM(J540:J$540))</f>
        <v>0</v>
      </c>
      <c r="K541" s="416">
        <f>IF(K$537&gt;$A541,$A541-$A540,K$537-SUM(K540:K$540))</f>
        <v>0</v>
      </c>
      <c r="L541" s="416">
        <f>IF(L$537&gt;$A541,$A541-$A540,L$537-SUM(L540:L$540))</f>
        <v>0</v>
      </c>
      <c r="M541" s="283"/>
      <c r="N541" s="405">
        <f t="shared" si="219"/>
        <v>0.39</v>
      </c>
      <c r="O541" s="95">
        <f t="shared" si="219"/>
        <v>0.39</v>
      </c>
      <c r="P541" s="95">
        <f t="shared" si="219"/>
        <v>0.39</v>
      </c>
      <c r="Q541" s="95">
        <f t="shared" si="219"/>
        <v>0.39</v>
      </c>
      <c r="R541" s="95">
        <f t="shared" si="219"/>
        <v>0</v>
      </c>
      <c r="S541" s="95">
        <f t="shared" si="219"/>
        <v>0</v>
      </c>
      <c r="T541" s="95">
        <f t="shared" si="219"/>
        <v>0</v>
      </c>
      <c r="U541" s="95">
        <f t="shared" si="219"/>
        <v>0</v>
      </c>
      <c r="V541" s="95">
        <f t="shared" si="219"/>
        <v>0</v>
      </c>
      <c r="W541" s="95">
        <f t="shared" si="219"/>
        <v>0</v>
      </c>
      <c r="X541" s="283"/>
    </row>
    <row r="542" spans="1:24" s="8" customFormat="1" outlineLevel="2">
      <c r="A542" s="416">
        <f>D$53</f>
        <v>2</v>
      </c>
      <c r="B542" s="416">
        <f>B$53</f>
        <v>0.68</v>
      </c>
      <c r="C542" s="411">
        <f>IF(C$537&gt;$A542,$A542-$A541,C$537-SUM(C$540:C541))</f>
        <v>1</v>
      </c>
      <c r="D542" s="416">
        <f>IF(D$537&gt;$A542,$A542-$A541,D$537-SUM(D$540:D541))</f>
        <v>1</v>
      </c>
      <c r="E542" s="416">
        <f>IF(E$537&gt;$A542,$A542-$A541,E$537-SUM(E$540:E541))</f>
        <v>0.7</v>
      </c>
      <c r="F542" s="416">
        <f>IF(F$537&gt;$A542,$A542-$A541,F$537-SUM(F$540:F541))</f>
        <v>1</v>
      </c>
      <c r="G542" s="416">
        <f>IF(G$537&gt;$A542,$A542-$A541,G$537-SUM(G$540:G541))</f>
        <v>0</v>
      </c>
      <c r="H542" s="416">
        <f>IF(H$537&gt;$A542,$A542-$A541,H$537-SUM(H$540:H541))</f>
        <v>0</v>
      </c>
      <c r="I542" s="416">
        <f>IF(I$537&gt;$A542,$A542-$A541,I$537-SUM(I$540:I541))</f>
        <v>0</v>
      </c>
      <c r="J542" s="416">
        <f>IF(J$537&gt;$A542,$A542-$A541,J$537-SUM(J$540:J541))</f>
        <v>0</v>
      </c>
      <c r="K542" s="416">
        <f>IF(K$537&gt;$A542,$A542-$A541,K$537-SUM(K$540:K541))</f>
        <v>0</v>
      </c>
      <c r="L542" s="416">
        <f>IF(L$537&gt;$A542,$A542-$A541,L$537-SUM(L$540:L541))</f>
        <v>0</v>
      </c>
      <c r="M542" s="283"/>
      <c r="N542" s="405">
        <f t="shared" si="219"/>
        <v>0.68</v>
      </c>
      <c r="O542" s="95">
        <f t="shared" si="219"/>
        <v>0.68</v>
      </c>
      <c r="P542" s="95">
        <f t="shared" si="219"/>
        <v>0.47599999999999998</v>
      </c>
      <c r="Q542" s="95">
        <f t="shared" si="219"/>
        <v>0.68</v>
      </c>
      <c r="R542" s="95">
        <f t="shared" si="219"/>
        <v>0</v>
      </c>
      <c r="S542" s="95">
        <f t="shared" si="219"/>
        <v>0</v>
      </c>
      <c r="T542" s="95">
        <f t="shared" si="219"/>
        <v>0</v>
      </c>
      <c r="U542" s="95">
        <f t="shared" si="219"/>
        <v>0</v>
      </c>
      <c r="V542" s="95">
        <f t="shared" si="219"/>
        <v>0</v>
      </c>
      <c r="W542" s="95">
        <f t="shared" si="219"/>
        <v>0</v>
      </c>
      <c r="X542" s="283"/>
    </row>
    <row r="543" spans="1:24" s="8" customFormat="1" outlineLevel="2">
      <c r="A543" s="416">
        <f>D$54</f>
        <v>5</v>
      </c>
      <c r="B543" s="416">
        <f>B$54</f>
        <v>0.45</v>
      </c>
      <c r="C543" s="411">
        <f>IF(C$537&gt;$A543,$A543-$A542,C$537-SUM(C$540:C542))</f>
        <v>3</v>
      </c>
      <c r="D543" s="416">
        <f>IF(D$537&gt;$A543,$A543-$A542,D$537-SUM(D$540:D542))</f>
        <v>3</v>
      </c>
      <c r="E543" s="416">
        <f>IF(E$537&gt;$A543,$A543-$A542,E$537-SUM(E$540:E542))</f>
        <v>0</v>
      </c>
      <c r="F543" s="416">
        <f>IF(F$537&gt;$A543,$A543-$A542,F$537-SUM(F$540:F542))</f>
        <v>1</v>
      </c>
      <c r="G543" s="416">
        <f>IF(G$537&gt;$A543,$A543-$A542,G$537-SUM(G$540:G542))</f>
        <v>0</v>
      </c>
      <c r="H543" s="416">
        <f>IF(H$537&gt;$A543,$A543-$A542,H$537-SUM(H$540:H542))</f>
        <v>0</v>
      </c>
      <c r="I543" s="416">
        <f>IF(I$537&gt;$A543,$A543-$A542,I$537-SUM(I$540:I542))</f>
        <v>0</v>
      </c>
      <c r="J543" s="416">
        <f>IF(J$537&gt;$A543,$A543-$A542,J$537-SUM(J$540:J542))</f>
        <v>0</v>
      </c>
      <c r="K543" s="416">
        <f>IF(K$537&gt;$A543,$A543-$A542,K$537-SUM(K$540:K542))</f>
        <v>0</v>
      </c>
      <c r="L543" s="416">
        <f>IF(L$537&gt;$A543,$A543-$A542,L$537-SUM(L$540:L542))</f>
        <v>0</v>
      </c>
      <c r="M543" s="283"/>
      <c r="N543" s="405">
        <f t="shared" si="219"/>
        <v>1.35</v>
      </c>
      <c r="O543" s="95">
        <f t="shared" si="219"/>
        <v>1.35</v>
      </c>
      <c r="P543" s="95">
        <f t="shared" si="219"/>
        <v>0</v>
      </c>
      <c r="Q543" s="95">
        <f t="shared" si="219"/>
        <v>0.45</v>
      </c>
      <c r="R543" s="95">
        <f t="shared" si="219"/>
        <v>0</v>
      </c>
      <c r="S543" s="95">
        <f t="shared" si="219"/>
        <v>0</v>
      </c>
      <c r="T543" s="95">
        <f t="shared" si="219"/>
        <v>0</v>
      </c>
      <c r="U543" s="95">
        <f t="shared" si="219"/>
        <v>0</v>
      </c>
      <c r="V543" s="95">
        <f t="shared" si="219"/>
        <v>0</v>
      </c>
      <c r="W543" s="95">
        <f t="shared" si="219"/>
        <v>0</v>
      </c>
      <c r="X543" s="283"/>
    </row>
    <row r="544" spans="1:24" s="8" customFormat="1" outlineLevel="2">
      <c r="A544" s="416">
        <f>D$55</f>
        <v>10</v>
      </c>
      <c r="B544" s="416">
        <f>B$55</f>
        <v>0.42</v>
      </c>
      <c r="C544" s="411">
        <f>IF(C$537&gt;$A544,$A544-$A543,C$537-SUM(C$540:C543))</f>
        <v>5</v>
      </c>
      <c r="D544" s="416">
        <f>IF(D$537&gt;$A544,$A544-$A543,D$537-SUM(D$540:D543))</f>
        <v>0.70000000000000018</v>
      </c>
      <c r="E544" s="416">
        <f>IF(E$537&gt;$A544,$A544-$A543,E$537-SUM(E$540:E543))</f>
        <v>0</v>
      </c>
      <c r="F544" s="416">
        <f>IF(F$537&gt;$A544,$A544-$A543,F$537-SUM(F$540:F543))</f>
        <v>0</v>
      </c>
      <c r="G544" s="416">
        <f>IF(G$537&gt;$A544,$A544-$A543,G$537-SUM(G$540:G543))</f>
        <v>0</v>
      </c>
      <c r="H544" s="416">
        <f>IF(H$537&gt;$A544,$A544-$A543,H$537-SUM(H$540:H543))</f>
        <v>0</v>
      </c>
      <c r="I544" s="416">
        <f>IF(I$537&gt;$A544,$A544-$A543,I$537-SUM(I$540:I543))</f>
        <v>0</v>
      </c>
      <c r="J544" s="416">
        <f>IF(J$537&gt;$A544,$A544-$A543,J$537-SUM(J$540:J543))</f>
        <v>0</v>
      </c>
      <c r="K544" s="416">
        <f>IF(K$537&gt;$A544,$A544-$A543,K$537-SUM(K$540:K543))</f>
        <v>0</v>
      </c>
      <c r="L544" s="416">
        <f>IF(L$537&gt;$A544,$A544-$A543,L$537-SUM(L$540:L543))</f>
        <v>0</v>
      </c>
      <c r="M544" s="283"/>
      <c r="N544" s="405">
        <f t="shared" si="219"/>
        <v>2.1</v>
      </c>
      <c r="O544" s="95">
        <f t="shared" si="219"/>
        <v>0.29400000000000004</v>
      </c>
      <c r="P544" s="95">
        <f t="shared" si="219"/>
        <v>0</v>
      </c>
      <c r="Q544" s="95">
        <f t="shared" si="219"/>
        <v>0</v>
      </c>
      <c r="R544" s="95">
        <f t="shared" si="219"/>
        <v>0</v>
      </c>
      <c r="S544" s="95">
        <f t="shared" si="219"/>
        <v>0</v>
      </c>
      <c r="T544" s="95">
        <f t="shared" si="219"/>
        <v>0</v>
      </c>
      <c r="U544" s="95">
        <f t="shared" si="219"/>
        <v>0</v>
      </c>
      <c r="V544" s="95">
        <f t="shared" si="219"/>
        <v>0</v>
      </c>
      <c r="W544" s="95">
        <f t="shared" si="219"/>
        <v>0</v>
      </c>
      <c r="X544" s="283"/>
    </row>
    <row r="545" spans="1:24" s="8" customFormat="1" outlineLevel="2">
      <c r="A545" s="416">
        <f>D$56</f>
        <v>20</v>
      </c>
      <c r="B545" s="416">
        <f>B$56</f>
        <v>0.22</v>
      </c>
      <c r="C545" s="411">
        <f>IF(C$537&gt;$A545,$A545-$A544,C$537-SUM(C$540:C544))</f>
        <v>1.7360000000000007</v>
      </c>
      <c r="D545" s="416">
        <f>IF(D$537&gt;$A545,$A545-$A544,D$537-SUM(D$540:D544))</f>
        <v>0</v>
      </c>
      <c r="E545" s="416">
        <f>IF(E$537&gt;$A545,$A545-$A544,E$537-SUM(E$540:E544))</f>
        <v>0</v>
      </c>
      <c r="F545" s="416">
        <f>IF(F$537&gt;$A545,$A545-$A544,F$537-SUM(F$540:F544))</f>
        <v>0</v>
      </c>
      <c r="G545" s="416">
        <f>IF(G$537&gt;$A545,$A545-$A544,G$537-SUM(G$540:G544))</f>
        <v>0</v>
      </c>
      <c r="H545" s="416">
        <f>IF(H$537&gt;$A545,$A545-$A544,H$537-SUM(H$540:H544))</f>
        <v>0</v>
      </c>
      <c r="I545" s="416">
        <f>IF(I$537&gt;$A545,$A545-$A544,I$537-SUM(I$540:I544))</f>
        <v>0</v>
      </c>
      <c r="J545" s="416">
        <f>IF(J$537&gt;$A545,$A545-$A544,J$537-SUM(J$540:J544))</f>
        <v>0</v>
      </c>
      <c r="K545" s="416">
        <f>IF(K$537&gt;$A545,$A545-$A544,K$537-SUM(K$540:K544))</f>
        <v>0</v>
      </c>
      <c r="L545" s="416">
        <f>IF(L$537&gt;$A545,$A545-$A544,L$537-SUM(L$540:L544))</f>
        <v>0</v>
      </c>
      <c r="M545" s="283"/>
      <c r="N545" s="405">
        <f t="shared" si="219"/>
        <v>0.38192000000000015</v>
      </c>
      <c r="O545" s="95">
        <f t="shared" si="219"/>
        <v>0</v>
      </c>
      <c r="P545" s="95">
        <f t="shared" si="219"/>
        <v>0</v>
      </c>
      <c r="Q545" s="95">
        <f t="shared" si="219"/>
        <v>0</v>
      </c>
      <c r="R545" s="95">
        <f t="shared" si="219"/>
        <v>0</v>
      </c>
      <c r="S545" s="95">
        <f t="shared" si="219"/>
        <v>0</v>
      </c>
      <c r="T545" s="95">
        <f t="shared" si="219"/>
        <v>0</v>
      </c>
      <c r="U545" s="95">
        <f t="shared" si="219"/>
        <v>0</v>
      </c>
      <c r="V545" s="95">
        <f t="shared" si="219"/>
        <v>0</v>
      </c>
      <c r="W545" s="95">
        <f t="shared" si="219"/>
        <v>0</v>
      </c>
      <c r="X545" s="283"/>
    </row>
    <row r="546" spans="1:24" s="8" customFormat="1" outlineLevel="2">
      <c r="A546" s="416">
        <f>D$57</f>
        <v>50</v>
      </c>
      <c r="B546" s="416">
        <f>B$57</f>
        <v>0.2</v>
      </c>
      <c r="C546" s="411">
        <f>IF(C$537&gt;$A546,$A546-$A545,C$537-SUM(C$540:C545))</f>
        <v>0</v>
      </c>
      <c r="D546" s="416">
        <f>IF(D$537&gt;$A546,$A546-$A545,D$537-SUM(D$540:D545))</f>
        <v>0</v>
      </c>
      <c r="E546" s="416">
        <f>IF(E$537&gt;$A546,$A546-$A545,E$537-SUM(E$540:E545))</f>
        <v>0</v>
      </c>
      <c r="F546" s="416">
        <f>IF(F$537&gt;$A546,$A546-$A545,F$537-SUM(F$540:F545))</f>
        <v>0</v>
      </c>
      <c r="G546" s="416">
        <f>IF(G$537&gt;$A546,$A546-$A545,G$537-SUM(G$540:G545))</f>
        <v>0</v>
      </c>
      <c r="H546" s="416">
        <f>IF(H$537&gt;$A546,$A546-$A545,H$537-SUM(H$540:H545))</f>
        <v>0</v>
      </c>
      <c r="I546" s="416">
        <f>IF(I$537&gt;$A546,$A546-$A545,I$537-SUM(I$540:I545))</f>
        <v>0</v>
      </c>
      <c r="J546" s="416">
        <f>IF(J$537&gt;$A546,$A546-$A545,J$537-SUM(J$540:J545))</f>
        <v>0</v>
      </c>
      <c r="K546" s="416">
        <f>IF(K$537&gt;$A546,$A546-$A545,K$537-SUM(K$540:K545))</f>
        <v>0</v>
      </c>
      <c r="L546" s="416">
        <f>IF(L$537&gt;$A546,$A546-$A545,L$537-SUM(L$540:L545))</f>
        <v>0</v>
      </c>
      <c r="M546" s="283"/>
      <c r="N546" s="405">
        <f t="shared" si="219"/>
        <v>0</v>
      </c>
      <c r="O546" s="95">
        <f t="shared" si="219"/>
        <v>0</v>
      </c>
      <c r="P546" s="95">
        <f t="shared" si="219"/>
        <v>0</v>
      </c>
      <c r="Q546" s="95">
        <f t="shared" si="219"/>
        <v>0</v>
      </c>
      <c r="R546" s="95">
        <f t="shared" si="219"/>
        <v>0</v>
      </c>
      <c r="S546" s="95">
        <f t="shared" si="219"/>
        <v>0</v>
      </c>
      <c r="T546" s="95">
        <f t="shared" si="219"/>
        <v>0</v>
      </c>
      <c r="U546" s="95">
        <f t="shared" si="219"/>
        <v>0</v>
      </c>
      <c r="V546" s="95">
        <f t="shared" si="219"/>
        <v>0</v>
      </c>
      <c r="W546" s="95">
        <f t="shared" si="219"/>
        <v>0</v>
      </c>
      <c r="X546" s="283"/>
    </row>
    <row r="547" spans="1:24" s="8" customFormat="1" outlineLevel="2">
      <c r="A547" s="416">
        <f>D$58</f>
        <v>75</v>
      </c>
      <c r="B547" s="416">
        <f>B$58</f>
        <v>0.15</v>
      </c>
      <c r="C547" s="411">
        <f>IF(C$537&gt;$A547,$A547-$A546,C$537-SUM(C$540:C546))</f>
        <v>0</v>
      </c>
      <c r="D547" s="416">
        <f>IF(D$537&gt;$A547,$A547-$A546,D$537-SUM(D$540:D546))</f>
        <v>0</v>
      </c>
      <c r="E547" s="416">
        <f>IF(E$537&gt;$A547,$A547-$A546,E$537-SUM(E$540:E546))</f>
        <v>0</v>
      </c>
      <c r="F547" s="416">
        <f>IF(F$537&gt;$A547,$A547-$A546,F$537-SUM(F$540:F546))</f>
        <v>0</v>
      </c>
      <c r="G547" s="416">
        <f>IF(G$537&gt;$A547,$A547-$A546,G$537-SUM(G$540:G546))</f>
        <v>0</v>
      </c>
      <c r="H547" s="416">
        <f>IF(H$537&gt;$A547,$A547-$A546,H$537-SUM(H$540:H546))</f>
        <v>0</v>
      </c>
      <c r="I547" s="416">
        <f>IF(I$537&gt;$A547,$A547-$A546,I$537-SUM(I$540:I546))</f>
        <v>0</v>
      </c>
      <c r="J547" s="416">
        <f>IF(J$537&gt;$A547,$A547-$A546,J$537-SUM(J$540:J546))</f>
        <v>0</v>
      </c>
      <c r="K547" s="416">
        <f>IF(K$537&gt;$A547,$A547-$A546,K$537-SUM(K$540:K546))</f>
        <v>0</v>
      </c>
      <c r="L547" s="416">
        <f>IF(L$537&gt;$A547,$A547-$A546,L$537-SUM(L$540:L546))</f>
        <v>0</v>
      </c>
      <c r="M547" s="283"/>
      <c r="N547" s="405">
        <f t="shared" si="219"/>
        <v>0</v>
      </c>
      <c r="O547" s="95">
        <f t="shared" si="219"/>
        <v>0</v>
      </c>
      <c r="P547" s="95">
        <f t="shared" si="219"/>
        <v>0</v>
      </c>
      <c r="Q547" s="95">
        <f t="shared" si="219"/>
        <v>0</v>
      </c>
      <c r="R547" s="95">
        <f t="shared" si="219"/>
        <v>0</v>
      </c>
      <c r="S547" s="95">
        <f t="shared" si="219"/>
        <v>0</v>
      </c>
      <c r="T547" s="95">
        <f t="shared" si="219"/>
        <v>0</v>
      </c>
      <c r="U547" s="95">
        <f t="shared" si="219"/>
        <v>0</v>
      </c>
      <c r="V547" s="95">
        <f t="shared" si="219"/>
        <v>0</v>
      </c>
      <c r="W547" s="95">
        <f t="shared" si="219"/>
        <v>0</v>
      </c>
      <c r="X547" s="283"/>
    </row>
    <row r="548" spans="1:24" s="8" customFormat="1" outlineLevel="2">
      <c r="A548" s="416">
        <f>D$59</f>
        <v>9999</v>
      </c>
      <c r="B548" s="416">
        <f>B$59</f>
        <v>0.1</v>
      </c>
      <c r="C548" s="411">
        <f>IF(C$537&gt;$A548,$A548-$A547,C$537-SUM(C$540:C547))</f>
        <v>0</v>
      </c>
      <c r="D548" s="416">
        <f>IF(D$537&gt;$A548,$A548-$A547,D$537-SUM(D$540:D547))</f>
        <v>0</v>
      </c>
      <c r="E548" s="416">
        <f>IF(E$537&gt;$A548,$A548-$A547,E$537-SUM(E$540:E547))</f>
        <v>0</v>
      </c>
      <c r="F548" s="416">
        <f>IF(F$537&gt;$A548,$A548-$A547,F$537-SUM(F$540:F547))</f>
        <v>0</v>
      </c>
      <c r="G548" s="416">
        <f>IF(G$537&gt;$A548,$A548-$A547,G$537-SUM(G$540:G547))</f>
        <v>0</v>
      </c>
      <c r="H548" s="416">
        <f>IF(H$537&gt;$A548,$A548-$A547,H$537-SUM(H$540:H547))</f>
        <v>0</v>
      </c>
      <c r="I548" s="416">
        <f>IF(I$537&gt;$A548,$A548-$A547,I$537-SUM(I$540:I547))</f>
        <v>0</v>
      </c>
      <c r="J548" s="416">
        <f>IF(J$537&gt;$A548,$A548-$A547,J$537-SUM(J$540:J547))</f>
        <v>0</v>
      </c>
      <c r="K548" s="416">
        <f>IF(K$537&gt;$A548,$A548-$A547,K$537-SUM(K$540:K547))</f>
        <v>0</v>
      </c>
      <c r="L548" s="416">
        <f>IF(L$537&gt;$A548,$A548-$A547,L$537-SUM(L$540:L547))</f>
        <v>0</v>
      </c>
      <c r="M548" s="283"/>
      <c r="N548" s="405">
        <f t="shared" si="219"/>
        <v>0</v>
      </c>
      <c r="O548" s="95">
        <f t="shared" si="219"/>
        <v>0</v>
      </c>
      <c r="P548" s="95">
        <f t="shared" si="219"/>
        <v>0</v>
      </c>
      <c r="Q548" s="95">
        <f t="shared" si="219"/>
        <v>0</v>
      </c>
      <c r="R548" s="95">
        <f t="shared" si="219"/>
        <v>0</v>
      </c>
      <c r="S548" s="95">
        <f t="shared" si="219"/>
        <v>0</v>
      </c>
      <c r="T548" s="95">
        <f t="shared" si="219"/>
        <v>0</v>
      </c>
      <c r="U548" s="95">
        <f t="shared" si="219"/>
        <v>0</v>
      </c>
      <c r="V548" s="95">
        <f t="shared" si="219"/>
        <v>0</v>
      </c>
      <c r="W548" s="95">
        <f t="shared" si="219"/>
        <v>0</v>
      </c>
      <c r="X548" s="283"/>
    </row>
    <row r="549" spans="1:24" s="8" customFormat="1" outlineLevel="1">
      <c r="A549" s="404"/>
      <c r="B549" s="417" t="str">
        <f>CONCATENATE(B536," Total")</f>
        <v>Sagem Total</v>
      </c>
      <c r="C549" s="418">
        <f>SUM(C540:C548)</f>
        <v>11.736000000000001</v>
      </c>
      <c r="D549" s="419">
        <f t="shared" ref="D549:L549" si="220">SUM(D540:D548)</f>
        <v>5.7</v>
      </c>
      <c r="E549" s="419">
        <f t="shared" si="220"/>
        <v>1.7</v>
      </c>
      <c r="F549" s="419">
        <f t="shared" si="220"/>
        <v>3</v>
      </c>
      <c r="G549" s="419">
        <f t="shared" si="220"/>
        <v>0</v>
      </c>
      <c r="H549" s="419">
        <f t="shared" si="220"/>
        <v>0</v>
      </c>
      <c r="I549" s="419">
        <f t="shared" si="220"/>
        <v>0</v>
      </c>
      <c r="J549" s="419">
        <f t="shared" si="220"/>
        <v>0</v>
      </c>
      <c r="K549" s="419">
        <f t="shared" si="220"/>
        <v>0</v>
      </c>
      <c r="L549" s="419">
        <f t="shared" si="220"/>
        <v>0</v>
      </c>
      <c r="M549" s="283"/>
      <c r="N549" s="420">
        <f>SUM(N540:N548)</f>
        <v>5.3919199999999998</v>
      </c>
      <c r="O549" s="420">
        <f t="shared" ref="O549:W549" si="221">SUM(O540:O548)</f>
        <v>3.2040000000000002</v>
      </c>
      <c r="P549" s="420">
        <f t="shared" si="221"/>
        <v>1.3559999999999999</v>
      </c>
      <c r="Q549" s="420">
        <f t="shared" si="221"/>
        <v>2.0100000000000002</v>
      </c>
      <c r="R549" s="420">
        <f t="shared" si="221"/>
        <v>0</v>
      </c>
      <c r="S549" s="420">
        <f t="shared" si="221"/>
        <v>0</v>
      </c>
      <c r="T549" s="420">
        <f t="shared" si="221"/>
        <v>0</v>
      </c>
      <c r="U549" s="420">
        <f t="shared" si="221"/>
        <v>0</v>
      </c>
      <c r="V549" s="420">
        <f t="shared" si="221"/>
        <v>0</v>
      </c>
      <c r="W549" s="420">
        <f t="shared" si="221"/>
        <v>0</v>
      </c>
      <c r="X549" s="283"/>
    </row>
    <row r="550" spans="1:24" s="8" customFormat="1" outlineLevel="1">
      <c r="B550" s="421" t="s">
        <v>778</v>
      </c>
      <c r="C550" s="422">
        <f t="shared" ref="C550:L550" si="222">C549-C537</f>
        <v>0</v>
      </c>
      <c r="D550" s="423">
        <f t="shared" si="222"/>
        <v>0</v>
      </c>
      <c r="E550" s="423">
        <f t="shared" si="222"/>
        <v>0</v>
      </c>
      <c r="F550" s="423">
        <f t="shared" si="222"/>
        <v>0</v>
      </c>
      <c r="G550" s="423">
        <f t="shared" si="222"/>
        <v>0</v>
      </c>
      <c r="H550" s="423">
        <f t="shared" si="222"/>
        <v>0</v>
      </c>
      <c r="I550" s="423">
        <f t="shared" si="222"/>
        <v>0</v>
      </c>
      <c r="J550" s="423">
        <f t="shared" si="222"/>
        <v>0</v>
      </c>
      <c r="K550" s="423">
        <f t="shared" si="222"/>
        <v>0</v>
      </c>
      <c r="L550" s="423">
        <f t="shared" si="222"/>
        <v>0</v>
      </c>
      <c r="M550" s="283"/>
      <c r="N550" s="283"/>
      <c r="O550" s="283"/>
      <c r="P550" s="283"/>
      <c r="Q550" s="283"/>
      <c r="R550" s="283"/>
      <c r="S550" s="283"/>
      <c r="T550" s="283"/>
      <c r="U550" s="283"/>
      <c r="V550" s="283"/>
      <c r="W550" s="283"/>
      <c r="X550" s="283"/>
    </row>
    <row r="551" spans="1:24" s="8" customFormat="1" outlineLevel="1">
      <c r="B551" s="283"/>
      <c r="C551" s="283"/>
      <c r="M551" s="283"/>
      <c r="X551" s="283"/>
    </row>
    <row r="552" spans="1:24" s="8" customFormat="1" outlineLevel="1" collapsed="1">
      <c r="A552" s="8">
        <f>A536+1</f>
        <v>24</v>
      </c>
      <c r="B552" s="424" t="str">
        <f>A163</f>
        <v>Samsung</v>
      </c>
      <c r="C552" s="80">
        <v>2007</v>
      </c>
      <c r="D552" s="66">
        <f>C552+1</f>
        <v>2008</v>
      </c>
      <c r="E552" s="66">
        <f t="shared" ref="E552:L552" si="223">D552+1</f>
        <v>2009</v>
      </c>
      <c r="F552" s="66">
        <f t="shared" si="223"/>
        <v>2010</v>
      </c>
      <c r="G552" s="66">
        <f t="shared" si="223"/>
        <v>2011</v>
      </c>
      <c r="H552" s="66">
        <f t="shared" si="223"/>
        <v>2012</v>
      </c>
      <c r="I552" s="66">
        <f t="shared" si="223"/>
        <v>2013</v>
      </c>
      <c r="J552" s="66">
        <f t="shared" si="223"/>
        <v>2014</v>
      </c>
      <c r="K552" s="66">
        <f t="shared" si="223"/>
        <v>2015</v>
      </c>
      <c r="L552" s="66">
        <f t="shared" si="223"/>
        <v>2016</v>
      </c>
      <c r="M552" s="283"/>
      <c r="N552" s="168">
        <f t="shared" ref="N552:W552" si="224">C552</f>
        <v>2007</v>
      </c>
      <c r="O552" s="66">
        <f t="shared" si="224"/>
        <v>2008</v>
      </c>
      <c r="P552" s="66">
        <f t="shared" si="224"/>
        <v>2009</v>
      </c>
      <c r="Q552" s="66">
        <f t="shared" si="224"/>
        <v>2010</v>
      </c>
      <c r="R552" s="66">
        <f t="shared" si="224"/>
        <v>2011</v>
      </c>
      <c r="S552" s="66">
        <f t="shared" si="224"/>
        <v>2012</v>
      </c>
      <c r="T552" s="66">
        <f t="shared" si="224"/>
        <v>2013</v>
      </c>
      <c r="U552" s="66">
        <f t="shared" si="224"/>
        <v>2014</v>
      </c>
      <c r="V552" s="66">
        <f t="shared" si="224"/>
        <v>2015</v>
      </c>
      <c r="W552" s="66">
        <f t="shared" si="224"/>
        <v>2016</v>
      </c>
      <c r="X552" s="283"/>
    </row>
    <row r="553" spans="1:24" s="8" customFormat="1" outlineLevel="2">
      <c r="B553" s="8" t="s">
        <v>1348</v>
      </c>
      <c r="C553" s="411">
        <f t="shared" ref="C553:L553" si="225">VLOOKUP($B552,$A$140:$K$175,C$183+1,FALSE)</f>
        <v>161.1</v>
      </c>
      <c r="D553" s="412">
        <f t="shared" si="225"/>
        <v>196.6</v>
      </c>
      <c r="E553" s="412">
        <f t="shared" si="225"/>
        <v>227.1</v>
      </c>
      <c r="F553" s="412">
        <f t="shared" si="225"/>
        <v>280.7</v>
      </c>
      <c r="G553" s="412">
        <f t="shared" si="225"/>
        <v>333.86686000000003</v>
      </c>
      <c r="H553" s="412">
        <f t="shared" si="225"/>
        <v>416.5</v>
      </c>
      <c r="I553" s="412">
        <f t="shared" si="225"/>
        <v>496</v>
      </c>
      <c r="J553" s="412">
        <f t="shared" si="225"/>
        <v>447</v>
      </c>
      <c r="K553" s="412">
        <f t="shared" si="225"/>
        <v>423.5</v>
      </c>
      <c r="L553" s="412">
        <f t="shared" si="225"/>
        <v>387.5</v>
      </c>
      <c r="M553" s="283"/>
      <c r="N553" s="283"/>
      <c r="X553" s="283"/>
    </row>
    <row r="554" spans="1:24" s="8" customFormat="1" outlineLevel="2">
      <c r="C554" s="413"/>
      <c r="D554" s="414"/>
      <c r="E554" s="414"/>
      <c r="F554" s="414"/>
      <c r="G554" s="414"/>
      <c r="H554" s="414"/>
      <c r="I554" s="414"/>
      <c r="J554" s="414"/>
      <c r="K554" s="414"/>
      <c r="L554" s="414"/>
      <c r="M554" s="283"/>
      <c r="N554" s="283"/>
      <c r="X554" s="283"/>
    </row>
    <row r="555" spans="1:24" s="8" customFormat="1" outlineLevel="2">
      <c r="A555" s="66" t="s">
        <v>1349</v>
      </c>
      <c r="B555" s="66" t="s">
        <v>1350</v>
      </c>
      <c r="C555" s="415"/>
      <c r="F555" s="9"/>
      <c r="M555" s="283"/>
      <c r="N555" s="283"/>
      <c r="X555" s="283"/>
    </row>
    <row r="556" spans="1:24" s="8" customFormat="1" outlineLevel="2">
      <c r="A556" s="416">
        <f>D$51</f>
        <v>0.5</v>
      </c>
      <c r="B556" s="416">
        <f>B$51</f>
        <v>0.98</v>
      </c>
      <c r="C556" s="411">
        <f>IF(C$553&gt;$A556,$A556,C$553)</f>
        <v>0.5</v>
      </c>
      <c r="D556" s="416">
        <f t="shared" ref="D556:L556" si="226">IF(D$553&gt;$A556,$A556,D$553)</f>
        <v>0.5</v>
      </c>
      <c r="E556" s="416">
        <f t="shared" si="226"/>
        <v>0.5</v>
      </c>
      <c r="F556" s="416">
        <f t="shared" si="226"/>
        <v>0.5</v>
      </c>
      <c r="G556" s="416">
        <f t="shared" si="226"/>
        <v>0.5</v>
      </c>
      <c r="H556" s="416">
        <f t="shared" si="226"/>
        <v>0.5</v>
      </c>
      <c r="I556" s="416">
        <f t="shared" si="226"/>
        <v>0.5</v>
      </c>
      <c r="J556" s="416">
        <f t="shared" si="226"/>
        <v>0.5</v>
      </c>
      <c r="K556" s="416">
        <f t="shared" si="226"/>
        <v>0.5</v>
      </c>
      <c r="L556" s="416">
        <f t="shared" si="226"/>
        <v>0.5</v>
      </c>
      <c r="M556" s="283"/>
      <c r="N556" s="405">
        <f t="shared" ref="N556:W564" si="227">C556*$B556</f>
        <v>0.49</v>
      </c>
      <c r="O556" s="95">
        <f t="shared" si="227"/>
        <v>0.49</v>
      </c>
      <c r="P556" s="95">
        <f t="shared" si="227"/>
        <v>0.49</v>
      </c>
      <c r="Q556" s="95">
        <f t="shared" si="227"/>
        <v>0.49</v>
      </c>
      <c r="R556" s="95">
        <f t="shared" si="227"/>
        <v>0.49</v>
      </c>
      <c r="S556" s="95">
        <f t="shared" si="227"/>
        <v>0.49</v>
      </c>
      <c r="T556" s="95">
        <f t="shared" si="227"/>
        <v>0.49</v>
      </c>
      <c r="U556" s="95">
        <f t="shared" si="227"/>
        <v>0.49</v>
      </c>
      <c r="V556" s="95">
        <f t="shared" si="227"/>
        <v>0.49</v>
      </c>
      <c r="W556" s="95">
        <f t="shared" si="227"/>
        <v>0.49</v>
      </c>
      <c r="X556" s="283"/>
    </row>
    <row r="557" spans="1:24" s="8" customFormat="1" outlineLevel="2">
      <c r="A557" s="416">
        <f>D$52</f>
        <v>1</v>
      </c>
      <c r="B557" s="416">
        <f>B$52</f>
        <v>0.78</v>
      </c>
      <c r="C557" s="411">
        <f>IF(C$553&gt;$A557,$A557-$A556,C$553-SUM(C556:C$556))</f>
        <v>0.5</v>
      </c>
      <c r="D557" s="416">
        <f>IF(D$553&gt;$A557,$A557-$A556,D$553-SUM(D556:D$556))</f>
        <v>0.5</v>
      </c>
      <c r="E557" s="416">
        <f>IF(E$553&gt;$A557,$A557-$A556,E$553-SUM(E556:E$556))</f>
        <v>0.5</v>
      </c>
      <c r="F557" s="416">
        <f>IF(F$553&gt;$A557,$A557-$A556,F$553-SUM(F556:F$556))</f>
        <v>0.5</v>
      </c>
      <c r="G557" s="416">
        <f>IF(G$553&gt;$A557,$A557-$A556,G$553-SUM(G556:G$556))</f>
        <v>0.5</v>
      </c>
      <c r="H557" s="416">
        <f>IF(H$553&gt;$A557,$A557-$A556,H$553-SUM(H556:H$556))</f>
        <v>0.5</v>
      </c>
      <c r="I557" s="416">
        <f>IF(I$553&gt;$A557,$A557-$A556,I$553-SUM(I556:I$556))</f>
        <v>0.5</v>
      </c>
      <c r="J557" s="416">
        <f>IF(J$553&gt;$A557,$A557-$A556,J$553-SUM(J556:J$556))</f>
        <v>0.5</v>
      </c>
      <c r="K557" s="416">
        <f>IF(K$553&gt;$A557,$A557-$A556,K$553-SUM(K556:K$556))</f>
        <v>0.5</v>
      </c>
      <c r="L557" s="416">
        <f>IF(L$553&gt;$A557,$A557-$A556,L$553-SUM(L556:L$556))</f>
        <v>0.5</v>
      </c>
      <c r="M557" s="283"/>
      <c r="N557" s="405">
        <f t="shared" si="227"/>
        <v>0.39</v>
      </c>
      <c r="O557" s="95">
        <f t="shared" si="227"/>
        <v>0.39</v>
      </c>
      <c r="P557" s="95">
        <f t="shared" si="227"/>
        <v>0.39</v>
      </c>
      <c r="Q557" s="95">
        <f t="shared" si="227"/>
        <v>0.39</v>
      </c>
      <c r="R557" s="95">
        <f t="shared" si="227"/>
        <v>0.39</v>
      </c>
      <c r="S557" s="95">
        <f t="shared" si="227"/>
        <v>0.39</v>
      </c>
      <c r="T557" s="95">
        <f t="shared" si="227"/>
        <v>0.39</v>
      </c>
      <c r="U557" s="95">
        <f t="shared" si="227"/>
        <v>0.39</v>
      </c>
      <c r="V557" s="95">
        <f t="shared" si="227"/>
        <v>0.39</v>
      </c>
      <c r="W557" s="95">
        <f t="shared" si="227"/>
        <v>0.39</v>
      </c>
      <c r="X557" s="283"/>
    </row>
    <row r="558" spans="1:24" s="8" customFormat="1" outlineLevel="2">
      <c r="A558" s="416">
        <f>D$53</f>
        <v>2</v>
      </c>
      <c r="B558" s="416">
        <f>B$53</f>
        <v>0.68</v>
      </c>
      <c r="C558" s="411">
        <f>IF(C$553&gt;$A558,$A558-$A557,C$553-SUM(C$556:C557))</f>
        <v>1</v>
      </c>
      <c r="D558" s="416">
        <f>IF(D$553&gt;$A558,$A558-$A557,D$553-SUM(D$556:D557))</f>
        <v>1</v>
      </c>
      <c r="E558" s="416">
        <f>IF(E$553&gt;$A558,$A558-$A557,E$553-SUM(E$556:E557))</f>
        <v>1</v>
      </c>
      <c r="F558" s="416">
        <f>IF(F$553&gt;$A558,$A558-$A557,F$553-SUM(F$556:F557))</f>
        <v>1</v>
      </c>
      <c r="G558" s="416">
        <f>IF(G$553&gt;$A558,$A558-$A557,G$553-SUM(G$556:G557))</f>
        <v>1</v>
      </c>
      <c r="H558" s="416">
        <f>IF(H$553&gt;$A558,$A558-$A557,H$553-SUM(H$556:H557))</f>
        <v>1</v>
      </c>
      <c r="I558" s="416">
        <f>IF(I$553&gt;$A558,$A558-$A557,I$553-SUM(I$556:I557))</f>
        <v>1</v>
      </c>
      <c r="J558" s="416">
        <f>IF(J$553&gt;$A558,$A558-$A557,J$553-SUM(J$556:J557))</f>
        <v>1</v>
      </c>
      <c r="K558" s="416">
        <f>IF(K$553&gt;$A558,$A558-$A557,K$553-SUM(K$556:K557))</f>
        <v>1</v>
      </c>
      <c r="L558" s="416">
        <f>IF(L$553&gt;$A558,$A558-$A557,L$553-SUM(L$556:L557))</f>
        <v>1</v>
      </c>
      <c r="M558" s="283"/>
      <c r="N558" s="405">
        <f t="shared" si="227"/>
        <v>0.68</v>
      </c>
      <c r="O558" s="95">
        <f t="shared" si="227"/>
        <v>0.68</v>
      </c>
      <c r="P558" s="95">
        <f t="shared" si="227"/>
        <v>0.68</v>
      </c>
      <c r="Q558" s="95">
        <f t="shared" si="227"/>
        <v>0.68</v>
      </c>
      <c r="R558" s="95">
        <f t="shared" si="227"/>
        <v>0.68</v>
      </c>
      <c r="S558" s="95">
        <f t="shared" si="227"/>
        <v>0.68</v>
      </c>
      <c r="T558" s="95">
        <f t="shared" si="227"/>
        <v>0.68</v>
      </c>
      <c r="U558" s="95">
        <f t="shared" si="227"/>
        <v>0.68</v>
      </c>
      <c r="V558" s="95">
        <f t="shared" si="227"/>
        <v>0.68</v>
      </c>
      <c r="W558" s="95">
        <f t="shared" si="227"/>
        <v>0.68</v>
      </c>
      <c r="X558" s="283"/>
    </row>
    <row r="559" spans="1:24" s="8" customFormat="1" outlineLevel="2">
      <c r="A559" s="416">
        <f>D$54</f>
        <v>5</v>
      </c>
      <c r="B559" s="416">
        <f>B$54</f>
        <v>0.45</v>
      </c>
      <c r="C559" s="411">
        <f>IF(C$553&gt;$A559,$A559-$A558,C$553-SUM(C$556:C558))</f>
        <v>3</v>
      </c>
      <c r="D559" s="416">
        <f>IF(D$553&gt;$A559,$A559-$A558,D$553-SUM(D$556:D558))</f>
        <v>3</v>
      </c>
      <c r="E559" s="416">
        <f>IF(E$553&gt;$A559,$A559-$A558,E$553-SUM(E$556:E558))</f>
        <v>3</v>
      </c>
      <c r="F559" s="416">
        <f>IF(F$553&gt;$A559,$A559-$A558,F$553-SUM(F$556:F558))</f>
        <v>3</v>
      </c>
      <c r="G559" s="416">
        <f>IF(G$553&gt;$A559,$A559-$A558,G$553-SUM(G$556:G558))</f>
        <v>3</v>
      </c>
      <c r="H559" s="416">
        <f>IF(H$553&gt;$A559,$A559-$A558,H$553-SUM(H$556:H558))</f>
        <v>3</v>
      </c>
      <c r="I559" s="416">
        <f>IF(I$553&gt;$A559,$A559-$A558,I$553-SUM(I$556:I558))</f>
        <v>3</v>
      </c>
      <c r="J559" s="416">
        <f>IF(J$553&gt;$A559,$A559-$A558,J$553-SUM(J$556:J558))</f>
        <v>3</v>
      </c>
      <c r="K559" s="416">
        <f>IF(K$553&gt;$A559,$A559-$A558,K$553-SUM(K$556:K558))</f>
        <v>3</v>
      </c>
      <c r="L559" s="416">
        <f>IF(L$553&gt;$A559,$A559-$A558,L$553-SUM(L$556:L558))</f>
        <v>3</v>
      </c>
      <c r="M559" s="283"/>
      <c r="N559" s="405">
        <f t="shared" si="227"/>
        <v>1.35</v>
      </c>
      <c r="O559" s="95">
        <f t="shared" si="227"/>
        <v>1.35</v>
      </c>
      <c r="P559" s="95">
        <f t="shared" si="227"/>
        <v>1.35</v>
      </c>
      <c r="Q559" s="95">
        <f t="shared" si="227"/>
        <v>1.35</v>
      </c>
      <c r="R559" s="95">
        <f t="shared" si="227"/>
        <v>1.35</v>
      </c>
      <c r="S559" s="95">
        <f t="shared" si="227"/>
        <v>1.35</v>
      </c>
      <c r="T559" s="95">
        <f t="shared" si="227"/>
        <v>1.35</v>
      </c>
      <c r="U559" s="95">
        <f t="shared" si="227"/>
        <v>1.35</v>
      </c>
      <c r="V559" s="95">
        <f t="shared" si="227"/>
        <v>1.35</v>
      </c>
      <c r="W559" s="95">
        <f t="shared" si="227"/>
        <v>1.35</v>
      </c>
      <c r="X559" s="283"/>
    </row>
    <row r="560" spans="1:24" s="8" customFormat="1" outlineLevel="2">
      <c r="A560" s="416">
        <f>D$55</f>
        <v>10</v>
      </c>
      <c r="B560" s="416">
        <f>B$55</f>
        <v>0.42</v>
      </c>
      <c r="C560" s="411">
        <f>IF(C$553&gt;$A560,$A560-$A559,C$553-SUM(C$556:C559))</f>
        <v>5</v>
      </c>
      <c r="D560" s="416">
        <f>IF(D$553&gt;$A560,$A560-$A559,D$553-SUM(D$556:D559))</f>
        <v>5</v>
      </c>
      <c r="E560" s="416">
        <f>IF(E$553&gt;$A560,$A560-$A559,E$553-SUM(E$556:E559))</f>
        <v>5</v>
      </c>
      <c r="F560" s="416">
        <f>IF(F$553&gt;$A560,$A560-$A559,F$553-SUM(F$556:F559))</f>
        <v>5</v>
      </c>
      <c r="G560" s="416">
        <f>IF(G$553&gt;$A560,$A560-$A559,G$553-SUM(G$556:G559))</f>
        <v>5</v>
      </c>
      <c r="H560" s="416">
        <f>IF(H$553&gt;$A560,$A560-$A559,H$553-SUM(H$556:H559))</f>
        <v>5</v>
      </c>
      <c r="I560" s="416">
        <f>IF(I$553&gt;$A560,$A560-$A559,I$553-SUM(I$556:I559))</f>
        <v>5</v>
      </c>
      <c r="J560" s="416">
        <f>IF(J$553&gt;$A560,$A560-$A559,J$553-SUM(J$556:J559))</f>
        <v>5</v>
      </c>
      <c r="K560" s="416">
        <f>IF(K$553&gt;$A560,$A560-$A559,K$553-SUM(K$556:K559))</f>
        <v>5</v>
      </c>
      <c r="L560" s="416">
        <f>IF(L$553&gt;$A560,$A560-$A559,L$553-SUM(L$556:L559))</f>
        <v>5</v>
      </c>
      <c r="M560" s="283"/>
      <c r="N560" s="405">
        <f t="shared" si="227"/>
        <v>2.1</v>
      </c>
      <c r="O560" s="95">
        <f t="shared" si="227"/>
        <v>2.1</v>
      </c>
      <c r="P560" s="95">
        <f t="shared" si="227"/>
        <v>2.1</v>
      </c>
      <c r="Q560" s="95">
        <f t="shared" si="227"/>
        <v>2.1</v>
      </c>
      <c r="R560" s="95">
        <f t="shared" si="227"/>
        <v>2.1</v>
      </c>
      <c r="S560" s="95">
        <f t="shared" si="227"/>
        <v>2.1</v>
      </c>
      <c r="T560" s="95">
        <f t="shared" si="227"/>
        <v>2.1</v>
      </c>
      <c r="U560" s="95">
        <f t="shared" si="227"/>
        <v>2.1</v>
      </c>
      <c r="V560" s="95">
        <f t="shared" si="227"/>
        <v>2.1</v>
      </c>
      <c r="W560" s="95">
        <f t="shared" si="227"/>
        <v>2.1</v>
      </c>
      <c r="X560" s="283"/>
    </row>
    <row r="561" spans="1:24" s="8" customFormat="1" outlineLevel="2">
      <c r="A561" s="416">
        <f>D$56</f>
        <v>20</v>
      </c>
      <c r="B561" s="416">
        <f>B$56</f>
        <v>0.22</v>
      </c>
      <c r="C561" s="411">
        <f>IF(C$553&gt;$A561,$A561-$A560,C$553-SUM(C$556:C560))</f>
        <v>10</v>
      </c>
      <c r="D561" s="416">
        <f>IF(D$553&gt;$A561,$A561-$A560,D$553-SUM(D$556:D560))</f>
        <v>10</v>
      </c>
      <c r="E561" s="416">
        <f>IF(E$553&gt;$A561,$A561-$A560,E$553-SUM(E$556:E560))</f>
        <v>10</v>
      </c>
      <c r="F561" s="416">
        <f>IF(F$553&gt;$A561,$A561-$A560,F$553-SUM(F$556:F560))</f>
        <v>10</v>
      </c>
      <c r="G561" s="416">
        <f>IF(G$553&gt;$A561,$A561-$A560,G$553-SUM(G$556:G560))</f>
        <v>10</v>
      </c>
      <c r="H561" s="416">
        <f>IF(H$553&gt;$A561,$A561-$A560,H$553-SUM(H$556:H560))</f>
        <v>10</v>
      </c>
      <c r="I561" s="416">
        <f>IF(I$553&gt;$A561,$A561-$A560,I$553-SUM(I$556:I560))</f>
        <v>10</v>
      </c>
      <c r="J561" s="416">
        <f>IF(J$553&gt;$A561,$A561-$A560,J$553-SUM(J$556:J560))</f>
        <v>10</v>
      </c>
      <c r="K561" s="416">
        <f>IF(K$553&gt;$A561,$A561-$A560,K$553-SUM(K$556:K560))</f>
        <v>10</v>
      </c>
      <c r="L561" s="416">
        <f>IF(L$553&gt;$A561,$A561-$A560,L$553-SUM(L$556:L560))</f>
        <v>10</v>
      </c>
      <c r="M561" s="283"/>
      <c r="N561" s="405">
        <f t="shared" si="227"/>
        <v>2.2000000000000002</v>
      </c>
      <c r="O561" s="95">
        <f t="shared" si="227"/>
        <v>2.2000000000000002</v>
      </c>
      <c r="P561" s="95">
        <f t="shared" si="227"/>
        <v>2.2000000000000002</v>
      </c>
      <c r="Q561" s="95">
        <f t="shared" si="227"/>
        <v>2.2000000000000002</v>
      </c>
      <c r="R561" s="95">
        <f t="shared" si="227"/>
        <v>2.2000000000000002</v>
      </c>
      <c r="S561" s="95">
        <f t="shared" si="227"/>
        <v>2.2000000000000002</v>
      </c>
      <c r="T561" s="95">
        <f t="shared" si="227"/>
        <v>2.2000000000000002</v>
      </c>
      <c r="U561" s="95">
        <f t="shared" si="227"/>
        <v>2.2000000000000002</v>
      </c>
      <c r="V561" s="95">
        <f t="shared" si="227"/>
        <v>2.2000000000000002</v>
      </c>
      <c r="W561" s="95">
        <f t="shared" si="227"/>
        <v>2.2000000000000002</v>
      </c>
      <c r="X561" s="283"/>
    </row>
    <row r="562" spans="1:24" s="8" customFormat="1" outlineLevel="2">
      <c r="A562" s="416">
        <f>D$57</f>
        <v>50</v>
      </c>
      <c r="B562" s="416">
        <f>B$57</f>
        <v>0.2</v>
      </c>
      <c r="C562" s="411">
        <f>IF(C$553&gt;$A562,$A562-$A561,C$553-SUM(C$556:C561))</f>
        <v>30</v>
      </c>
      <c r="D562" s="416">
        <f>IF(D$553&gt;$A562,$A562-$A561,D$553-SUM(D$556:D561))</f>
        <v>30</v>
      </c>
      <c r="E562" s="416">
        <f>IF(E$553&gt;$A562,$A562-$A561,E$553-SUM(E$556:E561))</f>
        <v>30</v>
      </c>
      <c r="F562" s="416">
        <f>IF(F$553&gt;$A562,$A562-$A561,F$553-SUM(F$556:F561))</f>
        <v>30</v>
      </c>
      <c r="G562" s="416">
        <f>IF(G$553&gt;$A562,$A562-$A561,G$553-SUM(G$556:G561))</f>
        <v>30</v>
      </c>
      <c r="H562" s="416">
        <f>IF(H$553&gt;$A562,$A562-$A561,H$553-SUM(H$556:H561))</f>
        <v>30</v>
      </c>
      <c r="I562" s="416">
        <f>IF(I$553&gt;$A562,$A562-$A561,I$553-SUM(I$556:I561))</f>
        <v>30</v>
      </c>
      <c r="J562" s="416">
        <f>IF(J$553&gt;$A562,$A562-$A561,J$553-SUM(J$556:J561))</f>
        <v>30</v>
      </c>
      <c r="K562" s="416">
        <f>IF(K$553&gt;$A562,$A562-$A561,K$553-SUM(K$556:K561))</f>
        <v>30</v>
      </c>
      <c r="L562" s="416">
        <f>IF(L$553&gt;$A562,$A562-$A561,L$553-SUM(L$556:L561))</f>
        <v>30</v>
      </c>
      <c r="M562" s="283"/>
      <c r="N562" s="405">
        <f t="shared" si="227"/>
        <v>6</v>
      </c>
      <c r="O562" s="95">
        <f t="shared" si="227"/>
        <v>6</v>
      </c>
      <c r="P562" s="95">
        <f t="shared" si="227"/>
        <v>6</v>
      </c>
      <c r="Q562" s="95">
        <f t="shared" si="227"/>
        <v>6</v>
      </c>
      <c r="R562" s="95">
        <f t="shared" si="227"/>
        <v>6</v>
      </c>
      <c r="S562" s="95">
        <f t="shared" si="227"/>
        <v>6</v>
      </c>
      <c r="T562" s="95">
        <f t="shared" si="227"/>
        <v>6</v>
      </c>
      <c r="U562" s="95">
        <f t="shared" si="227"/>
        <v>6</v>
      </c>
      <c r="V562" s="95">
        <f t="shared" si="227"/>
        <v>6</v>
      </c>
      <c r="W562" s="95">
        <f t="shared" si="227"/>
        <v>6</v>
      </c>
      <c r="X562" s="283"/>
    </row>
    <row r="563" spans="1:24" s="8" customFormat="1" outlineLevel="2">
      <c r="A563" s="416">
        <f>D$58</f>
        <v>75</v>
      </c>
      <c r="B563" s="416">
        <f>B$58</f>
        <v>0.15</v>
      </c>
      <c r="C563" s="411">
        <f>IF(C$553&gt;$A563,$A563-$A562,C$553-SUM(C$556:C562))</f>
        <v>25</v>
      </c>
      <c r="D563" s="416">
        <f>IF(D$553&gt;$A563,$A563-$A562,D$553-SUM(D$556:D562))</f>
        <v>25</v>
      </c>
      <c r="E563" s="416">
        <f>IF(E$553&gt;$A563,$A563-$A562,E$553-SUM(E$556:E562))</f>
        <v>25</v>
      </c>
      <c r="F563" s="416">
        <f>IF(F$553&gt;$A563,$A563-$A562,F$553-SUM(F$556:F562))</f>
        <v>25</v>
      </c>
      <c r="G563" s="416">
        <f>IF(G$553&gt;$A563,$A563-$A562,G$553-SUM(G$556:G562))</f>
        <v>25</v>
      </c>
      <c r="H563" s="416">
        <f>IF(H$553&gt;$A563,$A563-$A562,H$553-SUM(H$556:H562))</f>
        <v>25</v>
      </c>
      <c r="I563" s="416">
        <f>IF(I$553&gt;$A563,$A563-$A562,I$553-SUM(I$556:I562))</f>
        <v>25</v>
      </c>
      <c r="J563" s="416">
        <f>IF(J$553&gt;$A563,$A563-$A562,J$553-SUM(J$556:J562))</f>
        <v>25</v>
      </c>
      <c r="K563" s="416">
        <f>IF(K$553&gt;$A563,$A563-$A562,K$553-SUM(K$556:K562))</f>
        <v>25</v>
      </c>
      <c r="L563" s="416">
        <f>IF(L$553&gt;$A563,$A563-$A562,L$553-SUM(L$556:L562))</f>
        <v>25</v>
      </c>
      <c r="M563" s="283"/>
      <c r="N563" s="405">
        <f t="shared" si="227"/>
        <v>3.75</v>
      </c>
      <c r="O563" s="95">
        <f t="shared" si="227"/>
        <v>3.75</v>
      </c>
      <c r="P563" s="95">
        <f t="shared" si="227"/>
        <v>3.75</v>
      </c>
      <c r="Q563" s="95">
        <f t="shared" si="227"/>
        <v>3.75</v>
      </c>
      <c r="R563" s="95">
        <f t="shared" si="227"/>
        <v>3.75</v>
      </c>
      <c r="S563" s="95">
        <f t="shared" si="227"/>
        <v>3.75</v>
      </c>
      <c r="T563" s="95">
        <f t="shared" si="227"/>
        <v>3.75</v>
      </c>
      <c r="U563" s="95">
        <f t="shared" si="227"/>
        <v>3.75</v>
      </c>
      <c r="V563" s="95">
        <f t="shared" si="227"/>
        <v>3.75</v>
      </c>
      <c r="W563" s="95">
        <f t="shared" si="227"/>
        <v>3.75</v>
      </c>
      <c r="X563" s="283"/>
    </row>
    <row r="564" spans="1:24" s="8" customFormat="1" outlineLevel="2">
      <c r="A564" s="416">
        <f>D$59</f>
        <v>9999</v>
      </c>
      <c r="B564" s="416">
        <f>B$59</f>
        <v>0.1</v>
      </c>
      <c r="C564" s="411">
        <f>IF(C$553&gt;$A564,$A564-$A563,C$553-SUM(C$556:C563))</f>
        <v>86.1</v>
      </c>
      <c r="D564" s="416">
        <f>IF(D$553&gt;$A564,$A564-$A563,D$553-SUM(D$556:D563))</f>
        <v>121.6</v>
      </c>
      <c r="E564" s="416">
        <f>IF(E$553&gt;$A564,$A564-$A563,E$553-SUM(E$556:E563))</f>
        <v>152.1</v>
      </c>
      <c r="F564" s="416">
        <f>IF(F$553&gt;$A564,$A564-$A563,F$553-SUM(F$556:F563))</f>
        <v>205.7</v>
      </c>
      <c r="G564" s="416">
        <f>IF(G$553&gt;$A564,$A564-$A563,G$553-SUM(G$556:G563))</f>
        <v>258.86686000000003</v>
      </c>
      <c r="H564" s="416">
        <f>IF(H$553&gt;$A564,$A564-$A563,H$553-SUM(H$556:H563))</f>
        <v>341.5</v>
      </c>
      <c r="I564" s="416">
        <f>IF(I$553&gt;$A564,$A564-$A563,I$553-SUM(I$556:I563))</f>
        <v>421</v>
      </c>
      <c r="J564" s="416">
        <f>IF(J$553&gt;$A564,$A564-$A563,J$553-SUM(J$556:J563))</f>
        <v>372</v>
      </c>
      <c r="K564" s="416">
        <f>IF(K$553&gt;$A564,$A564-$A563,K$553-SUM(K$556:K563))</f>
        <v>348.5</v>
      </c>
      <c r="L564" s="416">
        <f>IF(L$553&gt;$A564,$A564-$A563,L$553-SUM(L$556:L563))</f>
        <v>312.5</v>
      </c>
      <c r="M564" s="283"/>
      <c r="N564" s="405">
        <f t="shared" si="227"/>
        <v>8.61</v>
      </c>
      <c r="O564" s="95">
        <f t="shared" si="227"/>
        <v>12.16</v>
      </c>
      <c r="P564" s="95">
        <f t="shared" si="227"/>
        <v>15.21</v>
      </c>
      <c r="Q564" s="95">
        <f t="shared" si="227"/>
        <v>20.57</v>
      </c>
      <c r="R564" s="95">
        <f t="shared" si="227"/>
        <v>25.886686000000005</v>
      </c>
      <c r="S564" s="95">
        <f t="shared" si="227"/>
        <v>34.15</v>
      </c>
      <c r="T564" s="95">
        <f t="shared" si="227"/>
        <v>42.1</v>
      </c>
      <c r="U564" s="95">
        <f t="shared" si="227"/>
        <v>37.200000000000003</v>
      </c>
      <c r="V564" s="95">
        <f t="shared" si="227"/>
        <v>34.85</v>
      </c>
      <c r="W564" s="95">
        <f t="shared" si="227"/>
        <v>31.25</v>
      </c>
      <c r="X564" s="283"/>
    </row>
    <row r="565" spans="1:24" s="8" customFormat="1" outlineLevel="1">
      <c r="A565" s="404"/>
      <c r="B565" s="417" t="str">
        <f>CONCATENATE(B552," Total")</f>
        <v>Samsung Total</v>
      </c>
      <c r="C565" s="418">
        <f>SUM(C556:C564)</f>
        <v>161.1</v>
      </c>
      <c r="D565" s="419">
        <f t="shared" ref="D565:L565" si="228">SUM(D556:D564)</f>
        <v>196.6</v>
      </c>
      <c r="E565" s="419">
        <f t="shared" si="228"/>
        <v>227.1</v>
      </c>
      <c r="F565" s="419">
        <f t="shared" si="228"/>
        <v>280.7</v>
      </c>
      <c r="G565" s="419">
        <f t="shared" si="228"/>
        <v>333.86686000000003</v>
      </c>
      <c r="H565" s="419">
        <f t="shared" si="228"/>
        <v>416.5</v>
      </c>
      <c r="I565" s="419">
        <f t="shared" si="228"/>
        <v>496</v>
      </c>
      <c r="J565" s="419">
        <f t="shared" si="228"/>
        <v>447</v>
      </c>
      <c r="K565" s="419">
        <f t="shared" si="228"/>
        <v>423.5</v>
      </c>
      <c r="L565" s="419">
        <f t="shared" si="228"/>
        <v>387.5</v>
      </c>
      <c r="M565" s="283"/>
      <c r="N565" s="420">
        <f>SUM(N556:N564)</f>
        <v>25.57</v>
      </c>
      <c r="O565" s="420">
        <f t="shared" ref="O565:W565" si="229">SUM(O556:O564)</f>
        <v>29.12</v>
      </c>
      <c r="P565" s="420">
        <f t="shared" si="229"/>
        <v>32.17</v>
      </c>
      <c r="Q565" s="420">
        <f t="shared" si="229"/>
        <v>37.53</v>
      </c>
      <c r="R565" s="420">
        <f t="shared" si="229"/>
        <v>42.846686000000005</v>
      </c>
      <c r="S565" s="420">
        <f t="shared" si="229"/>
        <v>51.11</v>
      </c>
      <c r="T565" s="420">
        <f t="shared" si="229"/>
        <v>59.06</v>
      </c>
      <c r="U565" s="420">
        <f t="shared" si="229"/>
        <v>54.160000000000004</v>
      </c>
      <c r="V565" s="420">
        <f t="shared" si="229"/>
        <v>51.81</v>
      </c>
      <c r="W565" s="420">
        <f t="shared" si="229"/>
        <v>48.21</v>
      </c>
      <c r="X565" s="283"/>
    </row>
    <row r="566" spans="1:24" s="8" customFormat="1" outlineLevel="1">
      <c r="B566" s="421" t="s">
        <v>778</v>
      </c>
      <c r="C566" s="422">
        <f t="shared" ref="C566:L566" si="230">C565-C553</f>
        <v>0</v>
      </c>
      <c r="D566" s="423">
        <f t="shared" si="230"/>
        <v>0</v>
      </c>
      <c r="E566" s="423">
        <f t="shared" si="230"/>
        <v>0</v>
      </c>
      <c r="F566" s="423">
        <f t="shared" si="230"/>
        <v>0</v>
      </c>
      <c r="G566" s="423">
        <f t="shared" si="230"/>
        <v>0</v>
      </c>
      <c r="H566" s="423">
        <f t="shared" si="230"/>
        <v>0</v>
      </c>
      <c r="I566" s="423">
        <f t="shared" si="230"/>
        <v>0</v>
      </c>
      <c r="J566" s="423">
        <f t="shared" si="230"/>
        <v>0</v>
      </c>
      <c r="K566" s="423">
        <f t="shared" si="230"/>
        <v>0</v>
      </c>
      <c r="L566" s="423">
        <f t="shared" si="230"/>
        <v>0</v>
      </c>
      <c r="M566" s="283"/>
      <c r="N566" s="283"/>
      <c r="O566" s="283"/>
      <c r="P566" s="283"/>
      <c r="Q566" s="283"/>
      <c r="R566" s="283"/>
      <c r="S566" s="283"/>
      <c r="T566" s="283"/>
      <c r="U566" s="283"/>
      <c r="V566" s="283"/>
      <c r="W566" s="283"/>
      <c r="X566" s="283"/>
    </row>
    <row r="567" spans="1:24" s="8" customFormat="1" outlineLevel="1">
      <c r="C567" s="283"/>
      <c r="M567" s="283"/>
      <c r="X567" s="283"/>
    </row>
    <row r="568" spans="1:24" s="8" customFormat="1" outlineLevel="1" collapsed="1">
      <c r="A568" s="8">
        <f>A552+1</f>
        <v>25</v>
      </c>
      <c r="B568" s="424" t="str">
        <f>A164</f>
        <v>Sanyo</v>
      </c>
      <c r="C568" s="80">
        <v>2007</v>
      </c>
      <c r="D568" s="66">
        <f>C568+1</f>
        <v>2008</v>
      </c>
      <c r="E568" s="66">
        <f t="shared" ref="E568:L568" si="231">D568+1</f>
        <v>2009</v>
      </c>
      <c r="F568" s="66">
        <f t="shared" si="231"/>
        <v>2010</v>
      </c>
      <c r="G568" s="66">
        <f t="shared" si="231"/>
        <v>2011</v>
      </c>
      <c r="H568" s="66">
        <f t="shared" si="231"/>
        <v>2012</v>
      </c>
      <c r="I568" s="66">
        <f t="shared" si="231"/>
        <v>2013</v>
      </c>
      <c r="J568" s="66">
        <f t="shared" si="231"/>
        <v>2014</v>
      </c>
      <c r="K568" s="66">
        <f t="shared" si="231"/>
        <v>2015</v>
      </c>
      <c r="L568" s="66">
        <f t="shared" si="231"/>
        <v>2016</v>
      </c>
      <c r="M568" s="283"/>
      <c r="N568" s="168">
        <f t="shared" ref="N568:W568" si="232">C568</f>
        <v>2007</v>
      </c>
      <c r="O568" s="66">
        <f t="shared" si="232"/>
        <v>2008</v>
      </c>
      <c r="P568" s="66">
        <f t="shared" si="232"/>
        <v>2009</v>
      </c>
      <c r="Q568" s="66">
        <f t="shared" si="232"/>
        <v>2010</v>
      </c>
      <c r="R568" s="66">
        <f t="shared" si="232"/>
        <v>2011</v>
      </c>
      <c r="S568" s="66">
        <f t="shared" si="232"/>
        <v>2012</v>
      </c>
      <c r="T568" s="66">
        <f t="shared" si="232"/>
        <v>2013</v>
      </c>
      <c r="U568" s="66">
        <f t="shared" si="232"/>
        <v>2014</v>
      </c>
      <c r="V568" s="66">
        <f t="shared" si="232"/>
        <v>2015</v>
      </c>
      <c r="W568" s="66">
        <f t="shared" si="232"/>
        <v>2016</v>
      </c>
      <c r="X568" s="283"/>
    </row>
    <row r="569" spans="1:24" s="8" customFormat="1" outlineLevel="2">
      <c r="B569" s="8" t="s">
        <v>1348</v>
      </c>
      <c r="C569" s="411">
        <f t="shared" ref="C569:L569" si="233">VLOOKUP($B568,$A$140:$K$175,C$183+1,FALSE)</f>
        <v>7.4</v>
      </c>
      <c r="D569" s="412">
        <f t="shared" si="233"/>
        <v>2</v>
      </c>
      <c r="E569" s="412">
        <f t="shared" si="233"/>
        <v>0</v>
      </c>
      <c r="F569" s="412">
        <f t="shared" si="233"/>
        <v>0</v>
      </c>
      <c r="G569" s="412">
        <f t="shared" si="233"/>
        <v>0</v>
      </c>
      <c r="H569" s="412">
        <f t="shared" si="233"/>
        <v>0</v>
      </c>
      <c r="I569" s="412">
        <f t="shared" si="233"/>
        <v>0</v>
      </c>
      <c r="J569" s="412">
        <f t="shared" si="233"/>
        <v>0</v>
      </c>
      <c r="K569" s="412">
        <f t="shared" si="233"/>
        <v>0</v>
      </c>
      <c r="L569" s="412">
        <f t="shared" si="233"/>
        <v>0</v>
      </c>
      <c r="M569" s="283"/>
      <c r="N569" s="283"/>
      <c r="X569" s="283"/>
    </row>
    <row r="570" spans="1:24" s="8" customFormat="1" outlineLevel="2">
      <c r="C570" s="413"/>
      <c r="D570" s="414"/>
      <c r="E570" s="414"/>
      <c r="F570" s="414"/>
      <c r="G570" s="414"/>
      <c r="H570" s="414"/>
      <c r="I570" s="414"/>
      <c r="J570" s="414"/>
      <c r="K570" s="414"/>
      <c r="L570" s="414"/>
      <c r="M570" s="283"/>
      <c r="N570" s="283"/>
      <c r="X570" s="283"/>
    </row>
    <row r="571" spans="1:24" s="8" customFormat="1" outlineLevel="2" collapsed="1">
      <c r="A571" s="66" t="s">
        <v>1349</v>
      </c>
      <c r="B571" s="66" t="s">
        <v>1350</v>
      </c>
      <c r="C571" s="415"/>
      <c r="F571" s="9"/>
      <c r="M571" s="283"/>
      <c r="N571" s="283"/>
      <c r="X571" s="283"/>
    </row>
    <row r="572" spans="1:24" s="8" customFormat="1" outlineLevel="2">
      <c r="A572" s="416">
        <f>D$51</f>
        <v>0.5</v>
      </c>
      <c r="B572" s="416">
        <f>B$51</f>
        <v>0.98</v>
      </c>
      <c r="C572" s="411">
        <f>IF(C$569&gt;$A572,$A572,C$569)</f>
        <v>0.5</v>
      </c>
      <c r="D572" s="416">
        <f t="shared" ref="D572:L572" si="234">IF(D$569&gt;$A572,$A572,D$569)</f>
        <v>0.5</v>
      </c>
      <c r="E572" s="416">
        <f t="shared" si="234"/>
        <v>0</v>
      </c>
      <c r="F572" s="416">
        <f t="shared" si="234"/>
        <v>0</v>
      </c>
      <c r="G572" s="416">
        <f t="shared" si="234"/>
        <v>0</v>
      </c>
      <c r="H572" s="416">
        <f t="shared" si="234"/>
        <v>0</v>
      </c>
      <c r="I572" s="416">
        <f t="shared" si="234"/>
        <v>0</v>
      </c>
      <c r="J572" s="416">
        <f t="shared" si="234"/>
        <v>0</v>
      </c>
      <c r="K572" s="416">
        <f t="shared" si="234"/>
        <v>0</v>
      </c>
      <c r="L572" s="416">
        <f t="shared" si="234"/>
        <v>0</v>
      </c>
      <c r="M572" s="283"/>
      <c r="N572" s="405">
        <f t="shared" ref="N572:W580" si="235">C572*$B572</f>
        <v>0.49</v>
      </c>
      <c r="O572" s="95">
        <f t="shared" si="235"/>
        <v>0.49</v>
      </c>
      <c r="P572" s="95">
        <f t="shared" si="235"/>
        <v>0</v>
      </c>
      <c r="Q572" s="95">
        <f t="shared" si="235"/>
        <v>0</v>
      </c>
      <c r="R572" s="95">
        <f t="shared" si="235"/>
        <v>0</v>
      </c>
      <c r="S572" s="95">
        <f t="shared" si="235"/>
        <v>0</v>
      </c>
      <c r="T572" s="95">
        <f t="shared" si="235"/>
        <v>0</v>
      </c>
      <c r="U572" s="95">
        <f t="shared" si="235"/>
        <v>0</v>
      </c>
      <c r="V572" s="95">
        <f t="shared" si="235"/>
        <v>0</v>
      </c>
      <c r="W572" s="95">
        <f t="shared" si="235"/>
        <v>0</v>
      </c>
      <c r="X572" s="283"/>
    </row>
    <row r="573" spans="1:24" s="8" customFormat="1" outlineLevel="2">
      <c r="A573" s="416">
        <f>D$52</f>
        <v>1</v>
      </c>
      <c r="B573" s="416">
        <f>B$52</f>
        <v>0.78</v>
      </c>
      <c r="C573" s="411">
        <f>IF(C$569&gt;$A573,$A573-$A572,C$569-SUM(C572:C$572))</f>
        <v>0.5</v>
      </c>
      <c r="D573" s="416">
        <f>IF(D$569&gt;$A573,$A573-$A572,D$569-SUM(D572:D$572))</f>
        <v>0.5</v>
      </c>
      <c r="E573" s="416">
        <f>IF(E$569&gt;$A573,$A573-$A572,E$569-SUM(E572:E$572))</f>
        <v>0</v>
      </c>
      <c r="F573" s="416">
        <f>IF(F$569&gt;$A573,$A573-$A572,F$569-SUM(F572:F$572))</f>
        <v>0</v>
      </c>
      <c r="G573" s="416">
        <f>IF(G$569&gt;$A573,$A573-$A572,G$569-SUM(G572:G$572))</f>
        <v>0</v>
      </c>
      <c r="H573" s="416">
        <f>IF(H$569&gt;$A573,$A573-$A572,H$569-SUM(H572:H$572))</f>
        <v>0</v>
      </c>
      <c r="I573" s="416">
        <f>IF(I$569&gt;$A573,$A573-$A572,I$569-SUM(I572:I$572))</f>
        <v>0</v>
      </c>
      <c r="J573" s="416">
        <f>IF(J$569&gt;$A573,$A573-$A572,J$569-SUM(J572:J$572))</f>
        <v>0</v>
      </c>
      <c r="K573" s="416">
        <f>IF(K$569&gt;$A573,$A573-$A572,K$569-SUM(K572:K$572))</f>
        <v>0</v>
      </c>
      <c r="L573" s="416">
        <f>IF(L$569&gt;$A573,$A573-$A572,L$569-SUM(L572:L$572))</f>
        <v>0</v>
      </c>
      <c r="M573" s="283"/>
      <c r="N573" s="405">
        <f t="shared" si="235"/>
        <v>0.39</v>
      </c>
      <c r="O573" s="95">
        <f t="shared" si="235"/>
        <v>0.39</v>
      </c>
      <c r="P573" s="95">
        <f t="shared" si="235"/>
        <v>0</v>
      </c>
      <c r="Q573" s="95">
        <f t="shared" si="235"/>
        <v>0</v>
      </c>
      <c r="R573" s="95">
        <f t="shared" si="235"/>
        <v>0</v>
      </c>
      <c r="S573" s="95">
        <f t="shared" si="235"/>
        <v>0</v>
      </c>
      <c r="T573" s="95">
        <f t="shared" si="235"/>
        <v>0</v>
      </c>
      <c r="U573" s="95">
        <f t="shared" si="235"/>
        <v>0</v>
      </c>
      <c r="V573" s="95">
        <f t="shared" si="235"/>
        <v>0</v>
      </c>
      <c r="W573" s="95">
        <f t="shared" si="235"/>
        <v>0</v>
      </c>
      <c r="X573" s="283"/>
    </row>
    <row r="574" spans="1:24" s="8" customFormat="1" outlineLevel="2">
      <c r="A574" s="416">
        <f>D$53</f>
        <v>2</v>
      </c>
      <c r="B574" s="416">
        <f>B$53</f>
        <v>0.68</v>
      </c>
      <c r="C574" s="411">
        <f>IF(C$569&gt;$A574,$A574-$A573,C$569-SUM(C$572:C573))</f>
        <v>1</v>
      </c>
      <c r="D574" s="416">
        <f>IF(D$569&gt;$A574,$A574-$A573,D$569-SUM(D$572:D573))</f>
        <v>1</v>
      </c>
      <c r="E574" s="416">
        <f>IF(E$569&gt;$A574,$A574-$A573,E$569-SUM(E$572:E573))</f>
        <v>0</v>
      </c>
      <c r="F574" s="416">
        <f>IF(F$569&gt;$A574,$A574-$A573,F$569-SUM(F$572:F573))</f>
        <v>0</v>
      </c>
      <c r="G574" s="416">
        <f>IF(G$569&gt;$A574,$A574-$A573,G$569-SUM(G$572:G573))</f>
        <v>0</v>
      </c>
      <c r="H574" s="416">
        <f>IF(H$569&gt;$A574,$A574-$A573,H$569-SUM(H$572:H573))</f>
        <v>0</v>
      </c>
      <c r="I574" s="416">
        <f>IF(I$569&gt;$A574,$A574-$A573,I$569-SUM(I$572:I573))</f>
        <v>0</v>
      </c>
      <c r="J574" s="416">
        <f>IF(J$569&gt;$A574,$A574-$A573,J$569-SUM(J$572:J573))</f>
        <v>0</v>
      </c>
      <c r="K574" s="416">
        <f>IF(K$569&gt;$A574,$A574-$A573,K$569-SUM(K$572:K573))</f>
        <v>0</v>
      </c>
      <c r="L574" s="416">
        <f>IF(L$569&gt;$A574,$A574-$A573,L$569-SUM(L$572:L573))</f>
        <v>0</v>
      </c>
      <c r="M574" s="283"/>
      <c r="N574" s="405">
        <f t="shared" si="235"/>
        <v>0.68</v>
      </c>
      <c r="O574" s="95">
        <f t="shared" si="235"/>
        <v>0.68</v>
      </c>
      <c r="P574" s="95">
        <f t="shared" si="235"/>
        <v>0</v>
      </c>
      <c r="Q574" s="95">
        <f t="shared" si="235"/>
        <v>0</v>
      </c>
      <c r="R574" s="95">
        <f t="shared" si="235"/>
        <v>0</v>
      </c>
      <c r="S574" s="95">
        <f t="shared" si="235"/>
        <v>0</v>
      </c>
      <c r="T574" s="95">
        <f t="shared" si="235"/>
        <v>0</v>
      </c>
      <c r="U574" s="95">
        <f t="shared" si="235"/>
        <v>0</v>
      </c>
      <c r="V574" s="95">
        <f t="shared" si="235"/>
        <v>0</v>
      </c>
      <c r="W574" s="95">
        <f t="shared" si="235"/>
        <v>0</v>
      </c>
      <c r="X574" s="283"/>
    </row>
    <row r="575" spans="1:24" s="8" customFormat="1" outlineLevel="2">
      <c r="A575" s="416">
        <f>D$54</f>
        <v>5</v>
      </c>
      <c r="B575" s="416">
        <f>B$54</f>
        <v>0.45</v>
      </c>
      <c r="C575" s="411">
        <f>IF(C$569&gt;$A575,$A575-$A574,C$569-SUM(C$572:C574))</f>
        <v>3</v>
      </c>
      <c r="D575" s="416">
        <f>IF(D$569&gt;$A575,$A575-$A574,D$569-SUM(D$572:D574))</f>
        <v>0</v>
      </c>
      <c r="E575" s="416">
        <f>IF(E$569&gt;$A575,$A575-$A574,E$569-SUM(E$572:E574))</f>
        <v>0</v>
      </c>
      <c r="F575" s="416">
        <f>IF(F$569&gt;$A575,$A575-$A574,F$569-SUM(F$572:F574))</f>
        <v>0</v>
      </c>
      <c r="G575" s="416">
        <f>IF(G$569&gt;$A575,$A575-$A574,G$569-SUM(G$572:G574))</f>
        <v>0</v>
      </c>
      <c r="H575" s="416">
        <f>IF(H$569&gt;$A575,$A575-$A574,H$569-SUM(H$572:H574))</f>
        <v>0</v>
      </c>
      <c r="I575" s="416">
        <f>IF(I$569&gt;$A575,$A575-$A574,I$569-SUM(I$572:I574))</f>
        <v>0</v>
      </c>
      <c r="J575" s="416">
        <f>IF(J$569&gt;$A575,$A575-$A574,J$569-SUM(J$572:J574))</f>
        <v>0</v>
      </c>
      <c r="K575" s="416">
        <f>IF(K$569&gt;$A575,$A575-$A574,K$569-SUM(K$572:K574))</f>
        <v>0</v>
      </c>
      <c r="L575" s="416">
        <f>IF(L$569&gt;$A575,$A575-$A574,L$569-SUM(L$572:L574))</f>
        <v>0</v>
      </c>
      <c r="M575" s="283"/>
      <c r="N575" s="405">
        <f t="shared" si="235"/>
        <v>1.35</v>
      </c>
      <c r="O575" s="95">
        <f t="shared" si="235"/>
        <v>0</v>
      </c>
      <c r="P575" s="95">
        <f t="shared" si="235"/>
        <v>0</v>
      </c>
      <c r="Q575" s="95">
        <f t="shared" si="235"/>
        <v>0</v>
      </c>
      <c r="R575" s="95">
        <f t="shared" si="235"/>
        <v>0</v>
      </c>
      <c r="S575" s="95">
        <f t="shared" si="235"/>
        <v>0</v>
      </c>
      <c r="T575" s="95">
        <f t="shared" si="235"/>
        <v>0</v>
      </c>
      <c r="U575" s="95">
        <f t="shared" si="235"/>
        <v>0</v>
      </c>
      <c r="V575" s="95">
        <f t="shared" si="235"/>
        <v>0</v>
      </c>
      <c r="W575" s="95">
        <f t="shared" si="235"/>
        <v>0</v>
      </c>
      <c r="X575" s="283"/>
    </row>
    <row r="576" spans="1:24" s="8" customFormat="1" outlineLevel="2">
      <c r="A576" s="416">
        <f>D$55</f>
        <v>10</v>
      </c>
      <c r="B576" s="416">
        <f>B$55</f>
        <v>0.42</v>
      </c>
      <c r="C576" s="411">
        <f>IF(C$569&gt;$A576,$A576-$A575,C$569-SUM(C$572:C575))</f>
        <v>2.4000000000000004</v>
      </c>
      <c r="D576" s="416">
        <f>IF(D$569&gt;$A576,$A576-$A575,D$569-SUM(D$572:D575))</f>
        <v>0</v>
      </c>
      <c r="E576" s="416">
        <f>IF(E$569&gt;$A576,$A576-$A575,E$569-SUM(E$572:E575))</f>
        <v>0</v>
      </c>
      <c r="F576" s="416">
        <f>IF(F$569&gt;$A576,$A576-$A575,F$569-SUM(F$572:F575))</f>
        <v>0</v>
      </c>
      <c r="G576" s="416">
        <f>IF(G$569&gt;$A576,$A576-$A575,G$569-SUM(G$572:G575))</f>
        <v>0</v>
      </c>
      <c r="H576" s="416">
        <f>IF(H$569&gt;$A576,$A576-$A575,H$569-SUM(H$572:H575))</f>
        <v>0</v>
      </c>
      <c r="I576" s="416">
        <f>IF(I$569&gt;$A576,$A576-$A575,I$569-SUM(I$572:I575))</f>
        <v>0</v>
      </c>
      <c r="J576" s="416">
        <f>IF(J$569&gt;$A576,$A576-$A575,J$569-SUM(J$572:J575))</f>
        <v>0</v>
      </c>
      <c r="K576" s="416">
        <f>IF(K$569&gt;$A576,$A576-$A575,K$569-SUM(K$572:K575))</f>
        <v>0</v>
      </c>
      <c r="L576" s="416">
        <f>IF(L$569&gt;$A576,$A576-$A575,L$569-SUM(L$572:L575))</f>
        <v>0</v>
      </c>
      <c r="M576" s="283"/>
      <c r="N576" s="405">
        <f t="shared" si="235"/>
        <v>1.008</v>
      </c>
      <c r="O576" s="95">
        <f t="shared" si="235"/>
        <v>0</v>
      </c>
      <c r="P576" s="95">
        <f t="shared" si="235"/>
        <v>0</v>
      </c>
      <c r="Q576" s="95">
        <f t="shared" si="235"/>
        <v>0</v>
      </c>
      <c r="R576" s="95">
        <f t="shared" si="235"/>
        <v>0</v>
      </c>
      <c r="S576" s="95">
        <f t="shared" si="235"/>
        <v>0</v>
      </c>
      <c r="T576" s="95">
        <f t="shared" si="235"/>
        <v>0</v>
      </c>
      <c r="U576" s="95">
        <f t="shared" si="235"/>
        <v>0</v>
      </c>
      <c r="V576" s="95">
        <f t="shared" si="235"/>
        <v>0</v>
      </c>
      <c r="W576" s="95">
        <f t="shared" si="235"/>
        <v>0</v>
      </c>
      <c r="X576" s="283"/>
    </row>
    <row r="577" spans="1:24" s="8" customFormat="1" outlineLevel="2">
      <c r="A577" s="416">
        <f>D$56</f>
        <v>20</v>
      </c>
      <c r="B577" s="416">
        <f>B$56</f>
        <v>0.22</v>
      </c>
      <c r="C577" s="411">
        <f>IF(C$569&gt;$A577,$A577-$A576,C$569-SUM(C$572:C576))</f>
        <v>0</v>
      </c>
      <c r="D577" s="416">
        <f>IF(D$569&gt;$A577,$A577-$A576,D$569-SUM(D$572:D576))</f>
        <v>0</v>
      </c>
      <c r="E577" s="416">
        <f>IF(E$569&gt;$A577,$A577-$A576,E$569-SUM(E$572:E576))</f>
        <v>0</v>
      </c>
      <c r="F577" s="416">
        <f>IF(F$569&gt;$A577,$A577-$A576,F$569-SUM(F$572:F576))</f>
        <v>0</v>
      </c>
      <c r="G577" s="416">
        <f>IF(G$569&gt;$A577,$A577-$A576,G$569-SUM(G$572:G576))</f>
        <v>0</v>
      </c>
      <c r="H577" s="416">
        <f>IF(H$569&gt;$A577,$A577-$A576,H$569-SUM(H$572:H576))</f>
        <v>0</v>
      </c>
      <c r="I577" s="416">
        <f>IF(I$569&gt;$A577,$A577-$A576,I$569-SUM(I$572:I576))</f>
        <v>0</v>
      </c>
      <c r="J577" s="416">
        <f>IF(J$569&gt;$A577,$A577-$A576,J$569-SUM(J$572:J576))</f>
        <v>0</v>
      </c>
      <c r="K577" s="416">
        <f>IF(K$569&gt;$A577,$A577-$A576,K$569-SUM(K$572:K576))</f>
        <v>0</v>
      </c>
      <c r="L577" s="416">
        <f>IF(L$569&gt;$A577,$A577-$A576,L$569-SUM(L$572:L576))</f>
        <v>0</v>
      </c>
      <c r="M577" s="283"/>
      <c r="N577" s="405">
        <f t="shared" si="235"/>
        <v>0</v>
      </c>
      <c r="O577" s="95">
        <f t="shared" si="235"/>
        <v>0</v>
      </c>
      <c r="P577" s="95">
        <f t="shared" si="235"/>
        <v>0</v>
      </c>
      <c r="Q577" s="95">
        <f t="shared" si="235"/>
        <v>0</v>
      </c>
      <c r="R577" s="95">
        <f t="shared" si="235"/>
        <v>0</v>
      </c>
      <c r="S577" s="95">
        <f t="shared" si="235"/>
        <v>0</v>
      </c>
      <c r="T577" s="95">
        <f t="shared" si="235"/>
        <v>0</v>
      </c>
      <c r="U577" s="95">
        <f t="shared" si="235"/>
        <v>0</v>
      </c>
      <c r="V577" s="95">
        <f t="shared" si="235"/>
        <v>0</v>
      </c>
      <c r="W577" s="95">
        <f t="shared" si="235"/>
        <v>0</v>
      </c>
      <c r="X577" s="283"/>
    </row>
    <row r="578" spans="1:24" s="8" customFormat="1" outlineLevel="2">
      <c r="A578" s="416">
        <f>D$57</f>
        <v>50</v>
      </c>
      <c r="B578" s="416">
        <f>B$57</f>
        <v>0.2</v>
      </c>
      <c r="C578" s="411">
        <f>IF(C$569&gt;$A578,$A578-$A577,C$569-SUM(C$572:C577))</f>
        <v>0</v>
      </c>
      <c r="D578" s="416">
        <f>IF(D$569&gt;$A578,$A578-$A577,D$569-SUM(D$572:D577))</f>
        <v>0</v>
      </c>
      <c r="E578" s="416">
        <f>IF(E$569&gt;$A578,$A578-$A577,E$569-SUM(E$572:E577))</f>
        <v>0</v>
      </c>
      <c r="F578" s="416">
        <f>IF(F$569&gt;$A578,$A578-$A577,F$569-SUM(F$572:F577))</f>
        <v>0</v>
      </c>
      <c r="G578" s="416">
        <f>IF(G$569&gt;$A578,$A578-$A577,G$569-SUM(G$572:G577))</f>
        <v>0</v>
      </c>
      <c r="H578" s="416">
        <f>IF(H$569&gt;$A578,$A578-$A577,H$569-SUM(H$572:H577))</f>
        <v>0</v>
      </c>
      <c r="I578" s="416">
        <f>IF(I$569&gt;$A578,$A578-$A577,I$569-SUM(I$572:I577))</f>
        <v>0</v>
      </c>
      <c r="J578" s="416">
        <f>IF(J$569&gt;$A578,$A578-$A577,J$569-SUM(J$572:J577))</f>
        <v>0</v>
      </c>
      <c r="K578" s="416">
        <f>IF(K$569&gt;$A578,$A578-$A577,K$569-SUM(K$572:K577))</f>
        <v>0</v>
      </c>
      <c r="L578" s="416">
        <f>IF(L$569&gt;$A578,$A578-$A577,L$569-SUM(L$572:L577))</f>
        <v>0</v>
      </c>
      <c r="M578" s="283"/>
      <c r="N578" s="405">
        <f t="shared" si="235"/>
        <v>0</v>
      </c>
      <c r="O578" s="95">
        <f t="shared" si="235"/>
        <v>0</v>
      </c>
      <c r="P578" s="95">
        <f t="shared" si="235"/>
        <v>0</v>
      </c>
      <c r="Q578" s="95">
        <f t="shared" si="235"/>
        <v>0</v>
      </c>
      <c r="R578" s="95">
        <f t="shared" si="235"/>
        <v>0</v>
      </c>
      <c r="S578" s="95">
        <f t="shared" si="235"/>
        <v>0</v>
      </c>
      <c r="T578" s="95">
        <f t="shared" si="235"/>
        <v>0</v>
      </c>
      <c r="U578" s="95">
        <f t="shared" si="235"/>
        <v>0</v>
      </c>
      <c r="V578" s="95">
        <f t="shared" si="235"/>
        <v>0</v>
      </c>
      <c r="W578" s="95">
        <f t="shared" si="235"/>
        <v>0</v>
      </c>
      <c r="X578" s="283"/>
    </row>
    <row r="579" spans="1:24" s="8" customFormat="1" outlineLevel="2">
      <c r="A579" s="416">
        <f>D$58</f>
        <v>75</v>
      </c>
      <c r="B579" s="416">
        <f>B$58</f>
        <v>0.15</v>
      </c>
      <c r="C579" s="411">
        <f>IF(C$569&gt;$A579,$A579-$A578,C$569-SUM(C$572:C578))</f>
        <v>0</v>
      </c>
      <c r="D579" s="416">
        <f>IF(D$569&gt;$A579,$A579-$A578,D$569-SUM(D$572:D578))</f>
        <v>0</v>
      </c>
      <c r="E579" s="416">
        <f>IF(E$569&gt;$A579,$A579-$A578,E$569-SUM(E$572:E578))</f>
        <v>0</v>
      </c>
      <c r="F579" s="416">
        <f>IF(F$569&gt;$A579,$A579-$A578,F$569-SUM(F$572:F578))</f>
        <v>0</v>
      </c>
      <c r="G579" s="416">
        <f>IF(G$569&gt;$A579,$A579-$A578,G$569-SUM(G$572:G578))</f>
        <v>0</v>
      </c>
      <c r="H579" s="416">
        <f>IF(H$569&gt;$A579,$A579-$A578,H$569-SUM(H$572:H578))</f>
        <v>0</v>
      </c>
      <c r="I579" s="416">
        <f>IF(I$569&gt;$A579,$A579-$A578,I$569-SUM(I$572:I578))</f>
        <v>0</v>
      </c>
      <c r="J579" s="416">
        <f>IF(J$569&gt;$A579,$A579-$A578,J$569-SUM(J$572:J578))</f>
        <v>0</v>
      </c>
      <c r="K579" s="416">
        <f>IF(K$569&gt;$A579,$A579-$A578,K$569-SUM(K$572:K578))</f>
        <v>0</v>
      </c>
      <c r="L579" s="416">
        <f>IF(L$569&gt;$A579,$A579-$A578,L$569-SUM(L$572:L578))</f>
        <v>0</v>
      </c>
      <c r="M579" s="283"/>
      <c r="N579" s="405">
        <f t="shared" si="235"/>
        <v>0</v>
      </c>
      <c r="O579" s="95">
        <f t="shared" si="235"/>
        <v>0</v>
      </c>
      <c r="P579" s="95">
        <f t="shared" si="235"/>
        <v>0</v>
      </c>
      <c r="Q579" s="95">
        <f t="shared" si="235"/>
        <v>0</v>
      </c>
      <c r="R579" s="95">
        <f t="shared" si="235"/>
        <v>0</v>
      </c>
      <c r="S579" s="95">
        <f t="shared" si="235"/>
        <v>0</v>
      </c>
      <c r="T579" s="95">
        <f t="shared" si="235"/>
        <v>0</v>
      </c>
      <c r="U579" s="95">
        <f t="shared" si="235"/>
        <v>0</v>
      </c>
      <c r="V579" s="95">
        <f t="shared" si="235"/>
        <v>0</v>
      </c>
      <c r="W579" s="95">
        <f t="shared" si="235"/>
        <v>0</v>
      </c>
      <c r="X579" s="283"/>
    </row>
    <row r="580" spans="1:24" s="8" customFormat="1" outlineLevel="2">
      <c r="A580" s="416">
        <f>D$59</f>
        <v>9999</v>
      </c>
      <c r="B580" s="416">
        <f>B$59</f>
        <v>0.1</v>
      </c>
      <c r="C580" s="411">
        <f>IF(C$569&gt;$A580,$A580-$A579,C$569-SUM(C$572:C579))</f>
        <v>0</v>
      </c>
      <c r="D580" s="416">
        <f>IF(D$569&gt;$A580,$A580-$A579,D$569-SUM(D$572:D579))</f>
        <v>0</v>
      </c>
      <c r="E580" s="416">
        <f>IF(E$569&gt;$A580,$A580-$A579,E$569-SUM(E$572:E579))</f>
        <v>0</v>
      </c>
      <c r="F580" s="416">
        <f>IF(F$569&gt;$A580,$A580-$A579,F$569-SUM(F$572:F579))</f>
        <v>0</v>
      </c>
      <c r="G580" s="416">
        <f>IF(G$569&gt;$A580,$A580-$A579,G$569-SUM(G$572:G579))</f>
        <v>0</v>
      </c>
      <c r="H580" s="416">
        <f>IF(H$569&gt;$A580,$A580-$A579,H$569-SUM(H$572:H579))</f>
        <v>0</v>
      </c>
      <c r="I580" s="416">
        <f>IF(I$569&gt;$A580,$A580-$A579,I$569-SUM(I$572:I579))</f>
        <v>0</v>
      </c>
      <c r="J580" s="416">
        <f>IF(J$569&gt;$A580,$A580-$A579,J$569-SUM(J$572:J579))</f>
        <v>0</v>
      </c>
      <c r="K580" s="416">
        <f>IF(K$569&gt;$A580,$A580-$A579,K$569-SUM(K$572:K579))</f>
        <v>0</v>
      </c>
      <c r="L580" s="416">
        <f>IF(L$569&gt;$A580,$A580-$A579,L$569-SUM(L$572:L579))</f>
        <v>0</v>
      </c>
      <c r="M580" s="283"/>
      <c r="N580" s="405">
        <f t="shared" si="235"/>
        <v>0</v>
      </c>
      <c r="O580" s="95">
        <f t="shared" si="235"/>
        <v>0</v>
      </c>
      <c r="P580" s="95">
        <f t="shared" si="235"/>
        <v>0</v>
      </c>
      <c r="Q580" s="95">
        <f t="shared" si="235"/>
        <v>0</v>
      </c>
      <c r="R580" s="95">
        <f t="shared" si="235"/>
        <v>0</v>
      </c>
      <c r="S580" s="95">
        <f t="shared" si="235"/>
        <v>0</v>
      </c>
      <c r="T580" s="95">
        <f t="shared" si="235"/>
        <v>0</v>
      </c>
      <c r="U580" s="95">
        <f t="shared" si="235"/>
        <v>0</v>
      </c>
      <c r="V580" s="95">
        <f t="shared" si="235"/>
        <v>0</v>
      </c>
      <c r="W580" s="95">
        <f t="shared" si="235"/>
        <v>0</v>
      </c>
      <c r="X580" s="283"/>
    </row>
    <row r="581" spans="1:24" s="8" customFormat="1" outlineLevel="1">
      <c r="A581" s="404"/>
      <c r="B581" s="417" t="str">
        <f>CONCATENATE(B568," Total")</f>
        <v>Sanyo Total</v>
      </c>
      <c r="C581" s="418">
        <f>SUM(C572:C580)</f>
        <v>7.4</v>
      </c>
      <c r="D581" s="419">
        <f t="shared" ref="D581:L581" si="236">SUM(D572:D580)</f>
        <v>2</v>
      </c>
      <c r="E581" s="419">
        <f t="shared" si="236"/>
        <v>0</v>
      </c>
      <c r="F581" s="419">
        <f t="shared" si="236"/>
        <v>0</v>
      </c>
      <c r="G581" s="419">
        <f t="shared" si="236"/>
        <v>0</v>
      </c>
      <c r="H581" s="419">
        <f t="shared" si="236"/>
        <v>0</v>
      </c>
      <c r="I581" s="419">
        <f t="shared" si="236"/>
        <v>0</v>
      </c>
      <c r="J581" s="419">
        <f t="shared" si="236"/>
        <v>0</v>
      </c>
      <c r="K581" s="419">
        <f t="shared" si="236"/>
        <v>0</v>
      </c>
      <c r="L581" s="419">
        <f t="shared" si="236"/>
        <v>0</v>
      </c>
      <c r="M581" s="283"/>
      <c r="N581" s="420">
        <f>SUM(N572:N580)</f>
        <v>3.9180000000000001</v>
      </c>
      <c r="O581" s="420">
        <f t="shared" ref="O581:W581" si="237">SUM(O572:O580)</f>
        <v>1.56</v>
      </c>
      <c r="P581" s="420">
        <f t="shared" si="237"/>
        <v>0</v>
      </c>
      <c r="Q581" s="420">
        <f t="shared" si="237"/>
        <v>0</v>
      </c>
      <c r="R581" s="420">
        <f t="shared" si="237"/>
        <v>0</v>
      </c>
      <c r="S581" s="420">
        <f t="shared" si="237"/>
        <v>0</v>
      </c>
      <c r="T581" s="420">
        <f t="shared" si="237"/>
        <v>0</v>
      </c>
      <c r="U581" s="420">
        <f t="shared" si="237"/>
        <v>0</v>
      </c>
      <c r="V581" s="420">
        <f t="shared" si="237"/>
        <v>0</v>
      </c>
      <c r="W581" s="420">
        <f t="shared" si="237"/>
        <v>0</v>
      </c>
      <c r="X581" s="283"/>
    </row>
    <row r="582" spans="1:24" s="8" customFormat="1" outlineLevel="1">
      <c r="B582" s="421" t="s">
        <v>778</v>
      </c>
      <c r="C582" s="422">
        <f t="shared" ref="C582:L582" si="238">C581-C569</f>
        <v>0</v>
      </c>
      <c r="D582" s="423">
        <f t="shared" si="238"/>
        <v>0</v>
      </c>
      <c r="E582" s="423">
        <f t="shared" si="238"/>
        <v>0</v>
      </c>
      <c r="F582" s="423">
        <f t="shared" si="238"/>
        <v>0</v>
      </c>
      <c r="G582" s="423">
        <f t="shared" si="238"/>
        <v>0</v>
      </c>
      <c r="H582" s="423">
        <f t="shared" si="238"/>
        <v>0</v>
      </c>
      <c r="I582" s="423">
        <f t="shared" si="238"/>
        <v>0</v>
      </c>
      <c r="J582" s="423">
        <f t="shared" si="238"/>
        <v>0</v>
      </c>
      <c r="K582" s="423">
        <f t="shared" si="238"/>
        <v>0</v>
      </c>
      <c r="L582" s="423">
        <f t="shared" si="238"/>
        <v>0</v>
      </c>
      <c r="M582" s="283"/>
      <c r="N582" s="283"/>
      <c r="O582" s="283"/>
      <c r="P582" s="283"/>
      <c r="Q582" s="283"/>
      <c r="R582" s="283"/>
      <c r="S582" s="283"/>
      <c r="T582" s="283"/>
      <c r="U582" s="283"/>
      <c r="V582" s="283"/>
      <c r="W582" s="283"/>
      <c r="X582" s="283"/>
    </row>
    <row r="583" spans="1:24" s="8" customFormat="1" outlineLevel="1">
      <c r="B583" s="283"/>
      <c r="C583" s="283"/>
      <c r="M583" s="283"/>
      <c r="X583" s="283"/>
    </row>
    <row r="584" spans="1:24" s="8" customFormat="1" outlineLevel="1" collapsed="1">
      <c r="A584" s="8">
        <f>A568+1</f>
        <v>26</v>
      </c>
      <c r="B584" s="425" t="str">
        <f>A165</f>
        <v>Sharp</v>
      </c>
      <c r="C584" s="80">
        <v>2007</v>
      </c>
      <c r="D584" s="66">
        <f>C584+1</f>
        <v>2008</v>
      </c>
      <c r="E584" s="66">
        <f t="shared" ref="E584:L584" si="239">D584+1</f>
        <v>2009</v>
      </c>
      <c r="F584" s="66">
        <f t="shared" si="239"/>
        <v>2010</v>
      </c>
      <c r="G584" s="66">
        <f t="shared" si="239"/>
        <v>2011</v>
      </c>
      <c r="H584" s="66">
        <f t="shared" si="239"/>
        <v>2012</v>
      </c>
      <c r="I584" s="66">
        <f t="shared" si="239"/>
        <v>2013</v>
      </c>
      <c r="J584" s="66">
        <f t="shared" si="239"/>
        <v>2014</v>
      </c>
      <c r="K584" s="66">
        <f t="shared" si="239"/>
        <v>2015</v>
      </c>
      <c r="L584" s="66">
        <f t="shared" si="239"/>
        <v>2016</v>
      </c>
      <c r="M584" s="283"/>
      <c r="N584" s="168">
        <f t="shared" ref="N584:W584" si="240">C584</f>
        <v>2007</v>
      </c>
      <c r="O584" s="66">
        <f t="shared" si="240"/>
        <v>2008</v>
      </c>
      <c r="P584" s="66">
        <f t="shared" si="240"/>
        <v>2009</v>
      </c>
      <c r="Q584" s="66">
        <f t="shared" si="240"/>
        <v>2010</v>
      </c>
      <c r="R584" s="66">
        <f t="shared" si="240"/>
        <v>2011</v>
      </c>
      <c r="S584" s="66">
        <f t="shared" si="240"/>
        <v>2012</v>
      </c>
      <c r="T584" s="66">
        <f t="shared" si="240"/>
        <v>2013</v>
      </c>
      <c r="U584" s="66">
        <f t="shared" si="240"/>
        <v>2014</v>
      </c>
      <c r="V584" s="66">
        <f t="shared" si="240"/>
        <v>2015</v>
      </c>
      <c r="W584" s="66">
        <f t="shared" si="240"/>
        <v>2016</v>
      </c>
      <c r="X584" s="283"/>
    </row>
    <row r="585" spans="1:24" s="8" customFormat="1" outlineLevel="2">
      <c r="B585" s="8" t="s">
        <v>1348</v>
      </c>
      <c r="C585" s="411">
        <f t="shared" ref="C585:L585" si="241">VLOOKUP($B584,$A$140:$K$175,C$183+1,FALSE)</f>
        <v>16.899999999999999</v>
      </c>
      <c r="D585" s="412">
        <f t="shared" si="241"/>
        <v>11.6</v>
      </c>
      <c r="E585" s="412">
        <f t="shared" si="241"/>
        <v>9.8999999999999986</v>
      </c>
      <c r="F585" s="412">
        <f t="shared" si="241"/>
        <v>10.87</v>
      </c>
      <c r="G585" s="412">
        <f t="shared" si="241"/>
        <v>7.9900000000000011</v>
      </c>
      <c r="H585" s="412">
        <f t="shared" si="241"/>
        <v>6.1</v>
      </c>
      <c r="I585" s="412">
        <f t="shared" si="241"/>
        <v>6</v>
      </c>
      <c r="J585" s="412">
        <f t="shared" si="241"/>
        <v>5.5</v>
      </c>
      <c r="K585" s="412">
        <f t="shared" si="241"/>
        <v>4.2</v>
      </c>
      <c r="L585" s="412">
        <f t="shared" si="241"/>
        <v>3.1</v>
      </c>
      <c r="M585" s="283"/>
      <c r="N585" s="283"/>
      <c r="X585" s="283"/>
    </row>
    <row r="586" spans="1:24" s="8" customFormat="1" outlineLevel="2">
      <c r="C586" s="413"/>
      <c r="D586" s="414"/>
      <c r="E586" s="414"/>
      <c r="F586" s="414"/>
      <c r="G586" s="414"/>
      <c r="H586" s="414"/>
      <c r="I586" s="414"/>
      <c r="J586" s="414"/>
      <c r="K586" s="414"/>
      <c r="L586" s="414"/>
      <c r="M586" s="283"/>
      <c r="N586" s="283"/>
      <c r="X586" s="283"/>
    </row>
    <row r="587" spans="1:24" s="8" customFormat="1" outlineLevel="2" collapsed="1">
      <c r="A587" s="66" t="s">
        <v>1349</v>
      </c>
      <c r="B587" s="66" t="s">
        <v>1350</v>
      </c>
      <c r="C587" s="415"/>
      <c r="F587" s="9"/>
      <c r="M587" s="283"/>
      <c r="N587" s="283"/>
      <c r="X587" s="283"/>
    </row>
    <row r="588" spans="1:24" s="8" customFormat="1" outlineLevel="2">
      <c r="A588" s="416">
        <f>D$51</f>
        <v>0.5</v>
      </c>
      <c r="B588" s="416">
        <f>B$51</f>
        <v>0.98</v>
      </c>
      <c r="C588" s="411">
        <f>IF(C$585&gt;$A588,$A588,C$585)</f>
        <v>0.5</v>
      </c>
      <c r="D588" s="416">
        <f t="shared" ref="D588:L588" si="242">IF(D$585&gt;$A588,$A588,D$585)</f>
        <v>0.5</v>
      </c>
      <c r="E588" s="416">
        <f t="shared" si="242"/>
        <v>0.5</v>
      </c>
      <c r="F588" s="416">
        <f t="shared" si="242"/>
        <v>0.5</v>
      </c>
      <c r="G588" s="416">
        <f t="shared" si="242"/>
        <v>0.5</v>
      </c>
      <c r="H588" s="416">
        <f t="shared" si="242"/>
        <v>0.5</v>
      </c>
      <c r="I588" s="416">
        <f t="shared" si="242"/>
        <v>0.5</v>
      </c>
      <c r="J588" s="416">
        <f t="shared" si="242"/>
        <v>0.5</v>
      </c>
      <c r="K588" s="416">
        <f t="shared" si="242"/>
        <v>0.5</v>
      </c>
      <c r="L588" s="416">
        <f t="shared" si="242"/>
        <v>0.5</v>
      </c>
      <c r="M588" s="283"/>
      <c r="N588" s="405">
        <f t="shared" ref="N588:W596" si="243">C588*$B588</f>
        <v>0.49</v>
      </c>
      <c r="O588" s="95">
        <f t="shared" si="243"/>
        <v>0.49</v>
      </c>
      <c r="P588" s="95">
        <f t="shared" si="243"/>
        <v>0.49</v>
      </c>
      <c r="Q588" s="95">
        <f t="shared" si="243"/>
        <v>0.49</v>
      </c>
      <c r="R588" s="95">
        <f t="shared" si="243"/>
        <v>0.49</v>
      </c>
      <c r="S588" s="95">
        <f t="shared" si="243"/>
        <v>0.49</v>
      </c>
      <c r="T588" s="95">
        <f t="shared" si="243"/>
        <v>0.49</v>
      </c>
      <c r="U588" s="95">
        <f t="shared" si="243"/>
        <v>0.49</v>
      </c>
      <c r="V588" s="95">
        <f t="shared" si="243"/>
        <v>0.49</v>
      </c>
      <c r="W588" s="95">
        <f t="shared" si="243"/>
        <v>0.49</v>
      </c>
      <c r="X588" s="283"/>
    </row>
    <row r="589" spans="1:24" s="8" customFormat="1" outlineLevel="2">
      <c r="A589" s="416">
        <f>D$52</f>
        <v>1</v>
      </c>
      <c r="B589" s="416">
        <f>B$52</f>
        <v>0.78</v>
      </c>
      <c r="C589" s="411">
        <f>IF(C$585&gt;$A589,$A589-$A588,C$585-SUM(C588:C$588))</f>
        <v>0.5</v>
      </c>
      <c r="D589" s="416">
        <f>IF(D$585&gt;$A589,$A589-$A588,D$585-SUM(D588:D$588))</f>
        <v>0.5</v>
      </c>
      <c r="E589" s="416">
        <f>IF(E$585&gt;$A589,$A589-$A588,E$585-SUM(E588:E$588))</f>
        <v>0.5</v>
      </c>
      <c r="F589" s="416">
        <f>IF(F$585&gt;$A589,$A589-$A588,F$585-SUM(F588:F$588))</f>
        <v>0.5</v>
      </c>
      <c r="G589" s="416">
        <f>IF(G$585&gt;$A589,$A589-$A588,G$585-SUM(G588:G$588))</f>
        <v>0.5</v>
      </c>
      <c r="H589" s="416">
        <f>IF(H$585&gt;$A589,$A589-$A588,H$585-SUM(H588:H$588))</f>
        <v>0.5</v>
      </c>
      <c r="I589" s="416">
        <f>IF(I$585&gt;$A589,$A589-$A588,I$585-SUM(I588:I$588))</f>
        <v>0.5</v>
      </c>
      <c r="J589" s="416">
        <f>IF(J$585&gt;$A589,$A589-$A588,J$585-SUM(J588:J$588))</f>
        <v>0.5</v>
      </c>
      <c r="K589" s="416">
        <f>IF(K$585&gt;$A589,$A589-$A588,K$585-SUM(K588:K$588))</f>
        <v>0.5</v>
      </c>
      <c r="L589" s="416">
        <f>IF(L$585&gt;$A589,$A589-$A588,L$585-SUM(L588:L$588))</f>
        <v>0.5</v>
      </c>
      <c r="M589" s="283"/>
      <c r="N589" s="405">
        <f t="shared" si="243"/>
        <v>0.39</v>
      </c>
      <c r="O589" s="95">
        <f t="shared" si="243"/>
        <v>0.39</v>
      </c>
      <c r="P589" s="95">
        <f t="shared" si="243"/>
        <v>0.39</v>
      </c>
      <c r="Q589" s="95">
        <f t="shared" si="243"/>
        <v>0.39</v>
      </c>
      <c r="R589" s="95">
        <f t="shared" si="243"/>
        <v>0.39</v>
      </c>
      <c r="S589" s="95">
        <f t="shared" si="243"/>
        <v>0.39</v>
      </c>
      <c r="T589" s="95">
        <f t="shared" si="243"/>
        <v>0.39</v>
      </c>
      <c r="U589" s="95">
        <f t="shared" si="243"/>
        <v>0.39</v>
      </c>
      <c r="V589" s="95">
        <f t="shared" si="243"/>
        <v>0.39</v>
      </c>
      <c r="W589" s="95">
        <f t="shared" si="243"/>
        <v>0.39</v>
      </c>
      <c r="X589" s="283"/>
    </row>
    <row r="590" spans="1:24" s="8" customFormat="1" outlineLevel="2">
      <c r="A590" s="416">
        <f>D$53</f>
        <v>2</v>
      </c>
      <c r="B590" s="416">
        <f>B$53</f>
        <v>0.68</v>
      </c>
      <c r="C590" s="411">
        <f>IF(C$585&gt;$A590,$A590-$A589,C$585-SUM(C$588:C589))</f>
        <v>1</v>
      </c>
      <c r="D590" s="416">
        <f>IF(D$585&gt;$A590,$A590-$A589,D$585-SUM(D$588:D589))</f>
        <v>1</v>
      </c>
      <c r="E590" s="416">
        <f>IF(E$585&gt;$A590,$A590-$A589,E$585-SUM(E$588:E589))</f>
        <v>1</v>
      </c>
      <c r="F590" s="416">
        <f>IF(F$585&gt;$A590,$A590-$A589,F$585-SUM(F$588:F589))</f>
        <v>1</v>
      </c>
      <c r="G590" s="416">
        <f>IF(G$585&gt;$A590,$A590-$A589,G$585-SUM(G$588:G589))</f>
        <v>1</v>
      </c>
      <c r="H590" s="416">
        <f>IF(H$585&gt;$A590,$A590-$A589,H$585-SUM(H$588:H589))</f>
        <v>1</v>
      </c>
      <c r="I590" s="416">
        <f>IF(I$585&gt;$A590,$A590-$A589,I$585-SUM(I$588:I589))</f>
        <v>1</v>
      </c>
      <c r="J590" s="416">
        <f>IF(J$585&gt;$A590,$A590-$A589,J$585-SUM(J$588:J589))</f>
        <v>1</v>
      </c>
      <c r="K590" s="416">
        <f>IF(K$585&gt;$A590,$A590-$A589,K$585-SUM(K$588:K589))</f>
        <v>1</v>
      </c>
      <c r="L590" s="416">
        <f>IF(L$585&gt;$A590,$A590-$A589,L$585-SUM(L$588:L589))</f>
        <v>1</v>
      </c>
      <c r="M590" s="283"/>
      <c r="N590" s="405">
        <f t="shared" si="243"/>
        <v>0.68</v>
      </c>
      <c r="O590" s="95">
        <f t="shared" si="243"/>
        <v>0.68</v>
      </c>
      <c r="P590" s="95">
        <f t="shared" si="243"/>
        <v>0.68</v>
      </c>
      <c r="Q590" s="95">
        <f t="shared" si="243"/>
        <v>0.68</v>
      </c>
      <c r="R590" s="95">
        <f t="shared" si="243"/>
        <v>0.68</v>
      </c>
      <c r="S590" s="95">
        <f t="shared" si="243"/>
        <v>0.68</v>
      </c>
      <c r="T590" s="95">
        <f t="shared" si="243"/>
        <v>0.68</v>
      </c>
      <c r="U590" s="95">
        <f t="shared" si="243"/>
        <v>0.68</v>
      </c>
      <c r="V590" s="95">
        <f t="shared" si="243"/>
        <v>0.68</v>
      </c>
      <c r="W590" s="95">
        <f t="shared" si="243"/>
        <v>0.68</v>
      </c>
      <c r="X590" s="283"/>
    </row>
    <row r="591" spans="1:24" s="8" customFormat="1" outlineLevel="2">
      <c r="A591" s="416">
        <f>D$54</f>
        <v>5</v>
      </c>
      <c r="B591" s="416">
        <f>B$54</f>
        <v>0.45</v>
      </c>
      <c r="C591" s="411">
        <f>IF(C$585&gt;$A591,$A591-$A590,C$585-SUM(C$588:C590))</f>
        <v>3</v>
      </c>
      <c r="D591" s="416">
        <f>IF(D$585&gt;$A591,$A591-$A590,D$585-SUM(D$588:D590))</f>
        <v>3</v>
      </c>
      <c r="E591" s="416">
        <f>IF(E$585&gt;$A591,$A591-$A590,E$585-SUM(E$588:E590))</f>
        <v>3</v>
      </c>
      <c r="F591" s="416">
        <f>IF(F$585&gt;$A591,$A591-$A590,F$585-SUM(F$588:F590))</f>
        <v>3</v>
      </c>
      <c r="G591" s="416">
        <f>IF(G$585&gt;$A591,$A591-$A590,G$585-SUM(G$588:G590))</f>
        <v>3</v>
      </c>
      <c r="H591" s="416">
        <f>IF(H$585&gt;$A591,$A591-$A590,H$585-SUM(H$588:H590))</f>
        <v>3</v>
      </c>
      <c r="I591" s="416">
        <f>IF(I$585&gt;$A591,$A591-$A590,I$585-SUM(I$588:I590))</f>
        <v>3</v>
      </c>
      <c r="J591" s="416">
        <f>IF(J$585&gt;$A591,$A591-$A590,J$585-SUM(J$588:J590))</f>
        <v>3</v>
      </c>
      <c r="K591" s="416">
        <f>IF(K$585&gt;$A591,$A591-$A590,K$585-SUM(K$588:K590))</f>
        <v>2.2000000000000002</v>
      </c>
      <c r="L591" s="416">
        <f>IF(L$585&gt;$A591,$A591-$A590,L$585-SUM(L$588:L590))</f>
        <v>1.1000000000000001</v>
      </c>
      <c r="M591" s="283"/>
      <c r="N591" s="405">
        <f t="shared" si="243"/>
        <v>1.35</v>
      </c>
      <c r="O591" s="95">
        <f t="shared" si="243"/>
        <v>1.35</v>
      </c>
      <c r="P591" s="95">
        <f t="shared" si="243"/>
        <v>1.35</v>
      </c>
      <c r="Q591" s="95">
        <f t="shared" si="243"/>
        <v>1.35</v>
      </c>
      <c r="R591" s="95">
        <f t="shared" si="243"/>
        <v>1.35</v>
      </c>
      <c r="S591" s="95">
        <f t="shared" si="243"/>
        <v>1.35</v>
      </c>
      <c r="T591" s="95">
        <f t="shared" si="243"/>
        <v>1.35</v>
      </c>
      <c r="U591" s="95">
        <f t="shared" si="243"/>
        <v>1.35</v>
      </c>
      <c r="V591" s="95">
        <f t="shared" si="243"/>
        <v>0.9900000000000001</v>
      </c>
      <c r="W591" s="95">
        <f t="shared" si="243"/>
        <v>0.49500000000000005</v>
      </c>
      <c r="X591" s="283"/>
    </row>
    <row r="592" spans="1:24" s="8" customFormat="1" outlineLevel="2">
      <c r="A592" s="416">
        <f>D$55</f>
        <v>10</v>
      </c>
      <c r="B592" s="416">
        <f>B$55</f>
        <v>0.42</v>
      </c>
      <c r="C592" s="411">
        <f>IF(C$585&gt;$A592,$A592-$A591,C$585-SUM(C$588:C591))</f>
        <v>5</v>
      </c>
      <c r="D592" s="416">
        <f>IF(D$585&gt;$A592,$A592-$A591,D$585-SUM(D$588:D591))</f>
        <v>5</v>
      </c>
      <c r="E592" s="416">
        <f>IF(E$585&gt;$A592,$A592-$A591,E$585-SUM(E$588:E591))</f>
        <v>4.8999999999999986</v>
      </c>
      <c r="F592" s="416">
        <f>IF(F$585&gt;$A592,$A592-$A591,F$585-SUM(F$588:F591))</f>
        <v>5</v>
      </c>
      <c r="G592" s="416">
        <f>IF(G$585&gt;$A592,$A592-$A591,G$585-SUM(G$588:G591))</f>
        <v>2.9900000000000011</v>
      </c>
      <c r="H592" s="416">
        <f>IF(H$585&gt;$A592,$A592-$A591,H$585-SUM(H$588:H591))</f>
        <v>1.0999999999999996</v>
      </c>
      <c r="I592" s="416">
        <f>IF(I$585&gt;$A592,$A592-$A591,I$585-SUM(I$588:I591))</f>
        <v>1</v>
      </c>
      <c r="J592" s="416">
        <f>IF(J$585&gt;$A592,$A592-$A591,J$585-SUM(J$588:J591))</f>
        <v>0.5</v>
      </c>
      <c r="K592" s="416">
        <f>IF(K$585&gt;$A592,$A592-$A591,K$585-SUM(K$588:K591))</f>
        <v>0</v>
      </c>
      <c r="L592" s="416">
        <f>IF(L$585&gt;$A592,$A592-$A591,L$585-SUM(L$588:L591))</f>
        <v>0</v>
      </c>
      <c r="M592" s="283"/>
      <c r="N592" s="405">
        <f t="shared" si="243"/>
        <v>2.1</v>
      </c>
      <c r="O592" s="95">
        <f t="shared" si="243"/>
        <v>2.1</v>
      </c>
      <c r="P592" s="95">
        <f t="shared" si="243"/>
        <v>2.0579999999999994</v>
      </c>
      <c r="Q592" s="95">
        <f t="shared" si="243"/>
        <v>2.1</v>
      </c>
      <c r="R592" s="95">
        <f t="shared" si="243"/>
        <v>1.2558000000000005</v>
      </c>
      <c r="S592" s="95">
        <f t="shared" si="243"/>
        <v>0.46199999999999986</v>
      </c>
      <c r="T592" s="95">
        <f t="shared" si="243"/>
        <v>0.42</v>
      </c>
      <c r="U592" s="95">
        <f t="shared" si="243"/>
        <v>0.21</v>
      </c>
      <c r="V592" s="95">
        <f t="shared" si="243"/>
        <v>0</v>
      </c>
      <c r="W592" s="95">
        <f t="shared" si="243"/>
        <v>0</v>
      </c>
      <c r="X592" s="283"/>
    </row>
    <row r="593" spans="1:24" s="8" customFormat="1" outlineLevel="2">
      <c r="A593" s="416">
        <f>D$56</f>
        <v>20</v>
      </c>
      <c r="B593" s="416">
        <f>B$56</f>
        <v>0.22</v>
      </c>
      <c r="C593" s="411">
        <f>IF(C$585&gt;$A593,$A593-$A592,C$585-SUM(C$588:C592))</f>
        <v>6.8999999999999986</v>
      </c>
      <c r="D593" s="416">
        <f>IF(D$585&gt;$A593,$A593-$A592,D$585-SUM(D$588:D592))</f>
        <v>1.5999999999999996</v>
      </c>
      <c r="E593" s="416">
        <f>IF(E$585&gt;$A593,$A593-$A592,E$585-SUM(E$588:E592))</f>
        <v>0</v>
      </c>
      <c r="F593" s="416">
        <f>IF(F$585&gt;$A593,$A593-$A592,F$585-SUM(F$588:F592))</f>
        <v>0.86999999999999922</v>
      </c>
      <c r="G593" s="416">
        <f>IF(G$585&gt;$A593,$A593-$A592,G$585-SUM(G$588:G592))</f>
        <v>0</v>
      </c>
      <c r="H593" s="416">
        <f>IF(H$585&gt;$A593,$A593-$A592,H$585-SUM(H$588:H592))</f>
        <v>0</v>
      </c>
      <c r="I593" s="416">
        <f>IF(I$585&gt;$A593,$A593-$A592,I$585-SUM(I$588:I592))</f>
        <v>0</v>
      </c>
      <c r="J593" s="416">
        <f>IF(J$585&gt;$A593,$A593-$A592,J$585-SUM(J$588:J592))</f>
        <v>0</v>
      </c>
      <c r="K593" s="416">
        <f>IF(K$585&gt;$A593,$A593-$A592,K$585-SUM(K$588:K592))</f>
        <v>0</v>
      </c>
      <c r="L593" s="416">
        <f>IF(L$585&gt;$A593,$A593-$A592,L$585-SUM(L$588:L592))</f>
        <v>0</v>
      </c>
      <c r="M593" s="283"/>
      <c r="N593" s="405">
        <f t="shared" si="243"/>
        <v>1.5179999999999998</v>
      </c>
      <c r="O593" s="95">
        <f t="shared" si="243"/>
        <v>0.35199999999999992</v>
      </c>
      <c r="P593" s="95">
        <f t="shared" si="243"/>
        <v>0</v>
      </c>
      <c r="Q593" s="95">
        <f t="shared" si="243"/>
        <v>0.19139999999999982</v>
      </c>
      <c r="R593" s="95">
        <f t="shared" si="243"/>
        <v>0</v>
      </c>
      <c r="S593" s="95">
        <f t="shared" si="243"/>
        <v>0</v>
      </c>
      <c r="T593" s="95">
        <f t="shared" si="243"/>
        <v>0</v>
      </c>
      <c r="U593" s="95">
        <f t="shared" si="243"/>
        <v>0</v>
      </c>
      <c r="V593" s="95">
        <f t="shared" si="243"/>
        <v>0</v>
      </c>
      <c r="W593" s="95">
        <f t="shared" si="243"/>
        <v>0</v>
      </c>
      <c r="X593" s="283"/>
    </row>
    <row r="594" spans="1:24" s="8" customFormat="1" outlineLevel="2">
      <c r="A594" s="416">
        <f>D$57</f>
        <v>50</v>
      </c>
      <c r="B594" s="416">
        <f>B$57</f>
        <v>0.2</v>
      </c>
      <c r="C594" s="411">
        <f>IF(C$585&gt;$A594,$A594-$A593,C$585-SUM(C$588:C593))</f>
        <v>0</v>
      </c>
      <c r="D594" s="416">
        <f>IF(D$585&gt;$A594,$A594-$A593,D$585-SUM(D$588:D593))</f>
        <v>0</v>
      </c>
      <c r="E594" s="416">
        <f>IF(E$585&gt;$A594,$A594-$A593,E$585-SUM(E$588:E593))</f>
        <v>0</v>
      </c>
      <c r="F594" s="416">
        <f>IF(F$585&gt;$A594,$A594-$A593,F$585-SUM(F$588:F593))</f>
        <v>0</v>
      </c>
      <c r="G594" s="416">
        <f>IF(G$585&gt;$A594,$A594-$A593,G$585-SUM(G$588:G593))</f>
        <v>0</v>
      </c>
      <c r="H594" s="416">
        <f>IF(H$585&gt;$A594,$A594-$A593,H$585-SUM(H$588:H593))</f>
        <v>0</v>
      </c>
      <c r="I594" s="416">
        <f>IF(I$585&gt;$A594,$A594-$A593,I$585-SUM(I$588:I593))</f>
        <v>0</v>
      </c>
      <c r="J594" s="416">
        <f>IF(J$585&gt;$A594,$A594-$A593,J$585-SUM(J$588:J593))</f>
        <v>0</v>
      </c>
      <c r="K594" s="416">
        <f>IF(K$585&gt;$A594,$A594-$A593,K$585-SUM(K$588:K593))</f>
        <v>0</v>
      </c>
      <c r="L594" s="416">
        <f>IF(L$585&gt;$A594,$A594-$A593,L$585-SUM(L$588:L593))</f>
        <v>0</v>
      </c>
      <c r="M594" s="283"/>
      <c r="N594" s="405">
        <f t="shared" si="243"/>
        <v>0</v>
      </c>
      <c r="O594" s="95">
        <f t="shared" si="243"/>
        <v>0</v>
      </c>
      <c r="P594" s="95">
        <f t="shared" si="243"/>
        <v>0</v>
      </c>
      <c r="Q594" s="95">
        <f t="shared" si="243"/>
        <v>0</v>
      </c>
      <c r="R594" s="95">
        <f t="shared" si="243"/>
        <v>0</v>
      </c>
      <c r="S594" s="95">
        <f t="shared" si="243"/>
        <v>0</v>
      </c>
      <c r="T594" s="95">
        <f t="shared" si="243"/>
        <v>0</v>
      </c>
      <c r="U594" s="95">
        <f t="shared" si="243"/>
        <v>0</v>
      </c>
      <c r="V594" s="95">
        <f t="shared" si="243"/>
        <v>0</v>
      </c>
      <c r="W594" s="95">
        <f t="shared" si="243"/>
        <v>0</v>
      </c>
      <c r="X594" s="283"/>
    </row>
    <row r="595" spans="1:24" s="8" customFormat="1" outlineLevel="2">
      <c r="A595" s="416">
        <f>D$58</f>
        <v>75</v>
      </c>
      <c r="B595" s="416">
        <f>B$58</f>
        <v>0.15</v>
      </c>
      <c r="C595" s="411">
        <f>IF(C$585&gt;$A595,$A595-$A594,C$585-SUM(C$588:C594))</f>
        <v>0</v>
      </c>
      <c r="D595" s="416">
        <f>IF(D$585&gt;$A595,$A595-$A594,D$585-SUM(D$588:D594))</f>
        <v>0</v>
      </c>
      <c r="E595" s="416">
        <f>IF(E$585&gt;$A595,$A595-$A594,E$585-SUM(E$588:E594))</f>
        <v>0</v>
      </c>
      <c r="F595" s="416">
        <f>IF(F$585&gt;$A595,$A595-$A594,F$585-SUM(F$588:F594))</f>
        <v>0</v>
      </c>
      <c r="G595" s="416">
        <f>IF(G$585&gt;$A595,$A595-$A594,G$585-SUM(G$588:G594))</f>
        <v>0</v>
      </c>
      <c r="H595" s="416">
        <f>IF(H$585&gt;$A595,$A595-$A594,H$585-SUM(H$588:H594))</f>
        <v>0</v>
      </c>
      <c r="I595" s="416">
        <f>IF(I$585&gt;$A595,$A595-$A594,I$585-SUM(I$588:I594))</f>
        <v>0</v>
      </c>
      <c r="J595" s="416">
        <f>IF(J$585&gt;$A595,$A595-$A594,J$585-SUM(J$588:J594))</f>
        <v>0</v>
      </c>
      <c r="K595" s="416">
        <f>IF(K$585&gt;$A595,$A595-$A594,K$585-SUM(K$588:K594))</f>
        <v>0</v>
      </c>
      <c r="L595" s="416">
        <f>IF(L$585&gt;$A595,$A595-$A594,L$585-SUM(L$588:L594))</f>
        <v>0</v>
      </c>
      <c r="M595" s="283"/>
      <c r="N595" s="405">
        <f t="shared" si="243"/>
        <v>0</v>
      </c>
      <c r="O595" s="95">
        <f t="shared" si="243"/>
        <v>0</v>
      </c>
      <c r="P595" s="95">
        <f t="shared" si="243"/>
        <v>0</v>
      </c>
      <c r="Q595" s="95">
        <f t="shared" si="243"/>
        <v>0</v>
      </c>
      <c r="R595" s="95">
        <f t="shared" si="243"/>
        <v>0</v>
      </c>
      <c r="S595" s="95">
        <f t="shared" si="243"/>
        <v>0</v>
      </c>
      <c r="T595" s="95">
        <f t="shared" si="243"/>
        <v>0</v>
      </c>
      <c r="U595" s="95">
        <f t="shared" si="243"/>
        <v>0</v>
      </c>
      <c r="V595" s="95">
        <f t="shared" si="243"/>
        <v>0</v>
      </c>
      <c r="W595" s="95">
        <f t="shared" si="243"/>
        <v>0</v>
      </c>
      <c r="X595" s="283"/>
    </row>
    <row r="596" spans="1:24" s="8" customFormat="1" outlineLevel="2">
      <c r="A596" s="416">
        <f>D$59</f>
        <v>9999</v>
      </c>
      <c r="B596" s="416">
        <f>B$59</f>
        <v>0.1</v>
      </c>
      <c r="C596" s="411">
        <f>IF(C$585&gt;$A596,$A596-$A595,C$585-SUM(C$588:C595))</f>
        <v>0</v>
      </c>
      <c r="D596" s="416">
        <f>IF(D$585&gt;$A596,$A596-$A595,D$585-SUM(D$588:D595))</f>
        <v>0</v>
      </c>
      <c r="E596" s="416">
        <f>IF(E$585&gt;$A596,$A596-$A595,E$585-SUM(E$588:E595))</f>
        <v>0</v>
      </c>
      <c r="F596" s="416">
        <f>IF(F$585&gt;$A596,$A596-$A595,F$585-SUM(F$588:F595))</f>
        <v>0</v>
      </c>
      <c r="G596" s="416">
        <f>IF(G$585&gt;$A596,$A596-$A595,G$585-SUM(G$588:G595))</f>
        <v>0</v>
      </c>
      <c r="H596" s="416">
        <f>IF(H$585&gt;$A596,$A596-$A595,H$585-SUM(H$588:H595))</f>
        <v>0</v>
      </c>
      <c r="I596" s="416">
        <f>IF(I$585&gt;$A596,$A596-$A595,I$585-SUM(I$588:I595))</f>
        <v>0</v>
      </c>
      <c r="J596" s="416">
        <f>IF(J$585&gt;$A596,$A596-$A595,J$585-SUM(J$588:J595))</f>
        <v>0</v>
      </c>
      <c r="K596" s="416">
        <f>IF(K$585&gt;$A596,$A596-$A595,K$585-SUM(K$588:K595))</f>
        <v>0</v>
      </c>
      <c r="L596" s="416">
        <f>IF(L$585&gt;$A596,$A596-$A595,L$585-SUM(L$588:L595))</f>
        <v>0</v>
      </c>
      <c r="M596" s="283"/>
      <c r="N596" s="405">
        <f t="shared" si="243"/>
        <v>0</v>
      </c>
      <c r="O596" s="95">
        <f t="shared" si="243"/>
        <v>0</v>
      </c>
      <c r="P596" s="95">
        <f t="shared" si="243"/>
        <v>0</v>
      </c>
      <c r="Q596" s="95">
        <f t="shared" si="243"/>
        <v>0</v>
      </c>
      <c r="R596" s="95">
        <f t="shared" si="243"/>
        <v>0</v>
      </c>
      <c r="S596" s="95">
        <f t="shared" si="243"/>
        <v>0</v>
      </c>
      <c r="T596" s="95">
        <f t="shared" si="243"/>
        <v>0</v>
      </c>
      <c r="U596" s="95">
        <f t="shared" si="243"/>
        <v>0</v>
      </c>
      <c r="V596" s="95">
        <f t="shared" si="243"/>
        <v>0</v>
      </c>
      <c r="W596" s="95">
        <f t="shared" si="243"/>
        <v>0</v>
      </c>
      <c r="X596" s="283"/>
    </row>
    <row r="597" spans="1:24" s="8" customFormat="1" outlineLevel="1">
      <c r="A597" s="404"/>
      <c r="B597" s="417" t="str">
        <f>CONCATENATE(B584," Total")</f>
        <v>Sharp Total</v>
      </c>
      <c r="C597" s="418">
        <f>SUM(C588:C596)</f>
        <v>16.899999999999999</v>
      </c>
      <c r="D597" s="419">
        <f t="shared" ref="D597:L597" si="244">SUM(D588:D596)</f>
        <v>11.6</v>
      </c>
      <c r="E597" s="419">
        <f t="shared" si="244"/>
        <v>9.8999999999999986</v>
      </c>
      <c r="F597" s="419">
        <f t="shared" si="244"/>
        <v>10.87</v>
      </c>
      <c r="G597" s="419">
        <f t="shared" si="244"/>
        <v>7.9900000000000011</v>
      </c>
      <c r="H597" s="419">
        <f t="shared" si="244"/>
        <v>6.1</v>
      </c>
      <c r="I597" s="419">
        <f t="shared" si="244"/>
        <v>6</v>
      </c>
      <c r="J597" s="419">
        <f t="shared" si="244"/>
        <v>5.5</v>
      </c>
      <c r="K597" s="419">
        <f t="shared" si="244"/>
        <v>4.2</v>
      </c>
      <c r="L597" s="419">
        <f t="shared" si="244"/>
        <v>3.1</v>
      </c>
      <c r="M597" s="283"/>
      <c r="N597" s="420">
        <f>SUM(N588:N596)</f>
        <v>6.5279999999999996</v>
      </c>
      <c r="O597" s="420">
        <f t="shared" ref="O597:W597" si="245">SUM(O588:O596)</f>
        <v>5.3620000000000001</v>
      </c>
      <c r="P597" s="420">
        <f t="shared" si="245"/>
        <v>4.968</v>
      </c>
      <c r="Q597" s="420">
        <f t="shared" si="245"/>
        <v>5.2013999999999996</v>
      </c>
      <c r="R597" s="420">
        <f t="shared" si="245"/>
        <v>4.1658000000000008</v>
      </c>
      <c r="S597" s="420">
        <f t="shared" si="245"/>
        <v>3.3719999999999999</v>
      </c>
      <c r="T597" s="420">
        <f t="shared" si="245"/>
        <v>3.33</v>
      </c>
      <c r="U597" s="420">
        <f t="shared" si="245"/>
        <v>3.12</v>
      </c>
      <c r="V597" s="420">
        <f t="shared" si="245"/>
        <v>2.5500000000000003</v>
      </c>
      <c r="W597" s="420">
        <f t="shared" si="245"/>
        <v>2.0550000000000002</v>
      </c>
      <c r="X597" s="283"/>
    </row>
    <row r="598" spans="1:24" s="8" customFormat="1" outlineLevel="1">
      <c r="B598" s="421" t="s">
        <v>778</v>
      </c>
      <c r="C598" s="422">
        <f t="shared" ref="C598:L598" si="246">C597-C585</f>
        <v>0</v>
      </c>
      <c r="D598" s="423">
        <f t="shared" si="246"/>
        <v>0</v>
      </c>
      <c r="E598" s="423">
        <f t="shared" si="246"/>
        <v>0</v>
      </c>
      <c r="F598" s="423">
        <f t="shared" si="246"/>
        <v>0</v>
      </c>
      <c r="G598" s="423">
        <f t="shared" si="246"/>
        <v>0</v>
      </c>
      <c r="H598" s="423">
        <f t="shared" si="246"/>
        <v>0</v>
      </c>
      <c r="I598" s="423">
        <f t="shared" si="246"/>
        <v>0</v>
      </c>
      <c r="J598" s="423">
        <f t="shared" si="246"/>
        <v>0</v>
      </c>
      <c r="K598" s="423">
        <f t="shared" si="246"/>
        <v>0</v>
      </c>
      <c r="L598" s="423">
        <f t="shared" si="246"/>
        <v>0</v>
      </c>
      <c r="M598" s="283"/>
      <c r="N598" s="283"/>
      <c r="O598" s="283"/>
      <c r="P598" s="283"/>
      <c r="Q598" s="283"/>
      <c r="R598" s="283"/>
      <c r="S598" s="283"/>
      <c r="T598" s="283"/>
      <c r="U598" s="283"/>
      <c r="V598" s="283"/>
      <c r="W598" s="283"/>
      <c r="X598" s="283"/>
    </row>
    <row r="599" spans="1:24" s="8" customFormat="1" outlineLevel="1">
      <c r="M599" s="283"/>
      <c r="X599" s="283"/>
    </row>
    <row r="600" spans="1:24" s="8" customFormat="1" outlineLevel="1" collapsed="1">
      <c r="A600" s="8">
        <f>A584+1</f>
        <v>27</v>
      </c>
      <c r="B600" s="424" t="str">
        <f>A166</f>
        <v>Sony</v>
      </c>
      <c r="C600" s="80">
        <v>2007</v>
      </c>
      <c r="D600" s="66">
        <f>C600+1</f>
        <v>2008</v>
      </c>
      <c r="E600" s="66">
        <f t="shared" ref="E600:L600" si="247">D600+1</f>
        <v>2009</v>
      </c>
      <c r="F600" s="66">
        <f t="shared" si="247"/>
        <v>2010</v>
      </c>
      <c r="G600" s="66">
        <f t="shared" si="247"/>
        <v>2011</v>
      </c>
      <c r="H600" s="66">
        <f t="shared" si="247"/>
        <v>2012</v>
      </c>
      <c r="I600" s="66">
        <f t="shared" si="247"/>
        <v>2013</v>
      </c>
      <c r="J600" s="66">
        <f t="shared" si="247"/>
        <v>2014</v>
      </c>
      <c r="K600" s="66">
        <f t="shared" si="247"/>
        <v>2015</v>
      </c>
      <c r="L600" s="66">
        <f t="shared" si="247"/>
        <v>2016</v>
      </c>
      <c r="M600" s="283"/>
      <c r="N600" s="168">
        <f t="shared" ref="N600:W600" si="248">C600</f>
        <v>2007</v>
      </c>
      <c r="O600" s="66">
        <f t="shared" si="248"/>
        <v>2008</v>
      </c>
      <c r="P600" s="66">
        <f t="shared" si="248"/>
        <v>2009</v>
      </c>
      <c r="Q600" s="66">
        <f t="shared" si="248"/>
        <v>2010</v>
      </c>
      <c r="R600" s="66">
        <f t="shared" si="248"/>
        <v>2011</v>
      </c>
      <c r="S600" s="66">
        <f t="shared" si="248"/>
        <v>2012</v>
      </c>
      <c r="T600" s="66">
        <f t="shared" si="248"/>
        <v>2013</v>
      </c>
      <c r="U600" s="66">
        <f t="shared" si="248"/>
        <v>2014</v>
      </c>
      <c r="V600" s="66">
        <f t="shared" si="248"/>
        <v>2015</v>
      </c>
      <c r="W600" s="66">
        <f t="shared" si="248"/>
        <v>2016</v>
      </c>
      <c r="X600" s="283"/>
    </row>
    <row r="601" spans="1:24" s="8" customFormat="1" outlineLevel="2">
      <c r="B601" s="8" t="s">
        <v>1348</v>
      </c>
      <c r="C601" s="411">
        <f t="shared" ref="C601:L601" si="249">VLOOKUP($B600,$A$140:$K$175,C$183+1,FALSE)</f>
        <v>103.4</v>
      </c>
      <c r="D601" s="412">
        <f t="shared" si="249"/>
        <v>94.95</v>
      </c>
      <c r="E601" s="412">
        <f t="shared" si="249"/>
        <v>57.3</v>
      </c>
      <c r="F601" s="412">
        <f t="shared" si="249"/>
        <v>43.100000000000009</v>
      </c>
      <c r="G601" s="412">
        <f t="shared" si="249"/>
        <v>34.200000000000003</v>
      </c>
      <c r="H601" s="412">
        <f t="shared" si="249"/>
        <v>31</v>
      </c>
      <c r="I601" s="412">
        <f t="shared" si="249"/>
        <v>38.4</v>
      </c>
      <c r="J601" s="412">
        <f t="shared" si="249"/>
        <v>40</v>
      </c>
      <c r="K601" s="412">
        <f t="shared" si="249"/>
        <v>29.4</v>
      </c>
      <c r="L601" s="412">
        <f t="shared" si="249"/>
        <v>15.1</v>
      </c>
      <c r="M601" s="283"/>
      <c r="N601" s="283"/>
      <c r="X601" s="283"/>
    </row>
    <row r="602" spans="1:24" s="8" customFormat="1" outlineLevel="2">
      <c r="C602" s="413"/>
      <c r="D602" s="414"/>
      <c r="E602" s="414"/>
      <c r="F602" s="414"/>
      <c r="G602" s="414"/>
      <c r="H602" s="414"/>
      <c r="I602" s="414"/>
      <c r="J602" s="414"/>
      <c r="K602" s="414"/>
      <c r="L602" s="414"/>
      <c r="M602" s="283"/>
      <c r="N602" s="283"/>
      <c r="X602" s="283"/>
    </row>
    <row r="603" spans="1:24" s="8" customFormat="1" outlineLevel="2">
      <c r="A603" s="66" t="s">
        <v>1349</v>
      </c>
      <c r="B603" s="66" t="s">
        <v>1350</v>
      </c>
      <c r="C603" s="415"/>
      <c r="F603" s="9"/>
      <c r="M603" s="283"/>
      <c r="N603" s="283"/>
      <c r="X603" s="283"/>
    </row>
    <row r="604" spans="1:24" s="8" customFormat="1" outlineLevel="2">
      <c r="A604" s="416">
        <f>D$51</f>
        <v>0.5</v>
      </c>
      <c r="B604" s="416">
        <f>B$51</f>
        <v>0.98</v>
      </c>
      <c r="C604" s="411">
        <f>IF(C$601&gt;$A604,$A604,C$601)</f>
        <v>0.5</v>
      </c>
      <c r="D604" s="416">
        <f t="shared" ref="D604:L604" si="250">IF(D$601&gt;$A604,$A604,D$601)</f>
        <v>0.5</v>
      </c>
      <c r="E604" s="416">
        <f t="shared" si="250"/>
        <v>0.5</v>
      </c>
      <c r="F604" s="416">
        <f t="shared" si="250"/>
        <v>0.5</v>
      </c>
      <c r="G604" s="416">
        <f t="shared" si="250"/>
        <v>0.5</v>
      </c>
      <c r="H604" s="416">
        <f t="shared" si="250"/>
        <v>0.5</v>
      </c>
      <c r="I604" s="416">
        <f t="shared" si="250"/>
        <v>0.5</v>
      </c>
      <c r="J604" s="416">
        <f t="shared" si="250"/>
        <v>0.5</v>
      </c>
      <c r="K604" s="416">
        <f t="shared" si="250"/>
        <v>0.5</v>
      </c>
      <c r="L604" s="416">
        <f t="shared" si="250"/>
        <v>0.5</v>
      </c>
      <c r="M604" s="283"/>
      <c r="N604" s="405">
        <f t="shared" ref="N604:W612" si="251">C604*$B604</f>
        <v>0.49</v>
      </c>
      <c r="O604" s="95">
        <f t="shared" si="251"/>
        <v>0.49</v>
      </c>
      <c r="P604" s="95">
        <f t="shared" si="251"/>
        <v>0.49</v>
      </c>
      <c r="Q604" s="95">
        <f t="shared" si="251"/>
        <v>0.49</v>
      </c>
      <c r="R604" s="95">
        <f t="shared" si="251"/>
        <v>0.49</v>
      </c>
      <c r="S604" s="95">
        <f t="shared" si="251"/>
        <v>0.49</v>
      </c>
      <c r="T604" s="95">
        <f t="shared" si="251"/>
        <v>0.49</v>
      </c>
      <c r="U604" s="95">
        <f t="shared" si="251"/>
        <v>0.49</v>
      </c>
      <c r="V604" s="95">
        <f t="shared" si="251"/>
        <v>0.49</v>
      </c>
      <c r="W604" s="95">
        <f t="shared" si="251"/>
        <v>0.49</v>
      </c>
      <c r="X604" s="283"/>
    </row>
    <row r="605" spans="1:24" s="8" customFormat="1" outlineLevel="2">
      <c r="A605" s="416">
        <f>D$52</f>
        <v>1</v>
      </c>
      <c r="B605" s="416">
        <f>B$52</f>
        <v>0.78</v>
      </c>
      <c r="C605" s="411">
        <f>IF(C$601&gt;$A605,$A605-$A604,C$601-SUM(C604:C$604))</f>
        <v>0.5</v>
      </c>
      <c r="D605" s="416">
        <f>IF(D$601&gt;$A605,$A605-$A604,D$601-SUM(D604:D$604))</f>
        <v>0.5</v>
      </c>
      <c r="E605" s="416">
        <f>IF(E$601&gt;$A605,$A605-$A604,E$601-SUM(E604:E$604))</f>
        <v>0.5</v>
      </c>
      <c r="F605" s="416">
        <f>IF(F$601&gt;$A605,$A605-$A604,F$601-SUM(F604:F$604))</f>
        <v>0.5</v>
      </c>
      <c r="G605" s="416">
        <f>IF(G$601&gt;$A605,$A605-$A604,G$601-SUM(G604:G$604))</f>
        <v>0.5</v>
      </c>
      <c r="H605" s="416">
        <f>IF(H$601&gt;$A605,$A605-$A604,H$601-SUM(H604:H$604))</f>
        <v>0.5</v>
      </c>
      <c r="I605" s="416">
        <f>IF(I$601&gt;$A605,$A605-$A604,I$601-SUM(I604:I$604))</f>
        <v>0.5</v>
      </c>
      <c r="J605" s="416">
        <f>IF(J$601&gt;$A605,$A605-$A604,J$601-SUM(J604:J$604))</f>
        <v>0.5</v>
      </c>
      <c r="K605" s="416">
        <f>IF(K$601&gt;$A605,$A605-$A604,K$601-SUM(K604:K$604))</f>
        <v>0.5</v>
      </c>
      <c r="L605" s="416">
        <f>IF(L$601&gt;$A605,$A605-$A604,L$601-SUM(L604:L$604))</f>
        <v>0.5</v>
      </c>
      <c r="M605" s="283"/>
      <c r="N605" s="405">
        <f t="shared" si="251"/>
        <v>0.39</v>
      </c>
      <c r="O605" s="95">
        <f t="shared" si="251"/>
        <v>0.39</v>
      </c>
      <c r="P605" s="95">
        <f t="shared" si="251"/>
        <v>0.39</v>
      </c>
      <c r="Q605" s="95">
        <f t="shared" si="251"/>
        <v>0.39</v>
      </c>
      <c r="R605" s="95">
        <f t="shared" si="251"/>
        <v>0.39</v>
      </c>
      <c r="S605" s="95">
        <f t="shared" si="251"/>
        <v>0.39</v>
      </c>
      <c r="T605" s="95">
        <f t="shared" si="251"/>
        <v>0.39</v>
      </c>
      <c r="U605" s="95">
        <f t="shared" si="251"/>
        <v>0.39</v>
      </c>
      <c r="V605" s="95">
        <f t="shared" si="251"/>
        <v>0.39</v>
      </c>
      <c r="W605" s="95">
        <f t="shared" si="251"/>
        <v>0.39</v>
      </c>
      <c r="X605" s="283"/>
    </row>
    <row r="606" spans="1:24" s="8" customFormat="1" outlineLevel="2">
      <c r="A606" s="416">
        <f>D$53</f>
        <v>2</v>
      </c>
      <c r="B606" s="416">
        <f>B$53</f>
        <v>0.68</v>
      </c>
      <c r="C606" s="411">
        <f>IF(C$601&gt;$A606,$A606-$A605,C$601-SUM(C$604:C605))</f>
        <v>1</v>
      </c>
      <c r="D606" s="416">
        <f>IF(D$601&gt;$A606,$A606-$A605,D$601-SUM(D$604:D605))</f>
        <v>1</v>
      </c>
      <c r="E606" s="416">
        <f>IF(E$601&gt;$A606,$A606-$A605,E$601-SUM(E$604:E605))</f>
        <v>1</v>
      </c>
      <c r="F606" s="416">
        <f>IF(F$601&gt;$A606,$A606-$A605,F$601-SUM(F$604:F605))</f>
        <v>1</v>
      </c>
      <c r="G606" s="416">
        <f>IF(G$601&gt;$A606,$A606-$A605,G$601-SUM(G$604:G605))</f>
        <v>1</v>
      </c>
      <c r="H606" s="416">
        <f>IF(H$601&gt;$A606,$A606-$A605,H$601-SUM(H$604:H605))</f>
        <v>1</v>
      </c>
      <c r="I606" s="416">
        <f>IF(I$601&gt;$A606,$A606-$A605,I$601-SUM(I$604:I605))</f>
        <v>1</v>
      </c>
      <c r="J606" s="416">
        <f>IF(J$601&gt;$A606,$A606-$A605,J$601-SUM(J$604:J605))</f>
        <v>1</v>
      </c>
      <c r="K606" s="416">
        <f>IF(K$601&gt;$A606,$A606-$A605,K$601-SUM(K$604:K605))</f>
        <v>1</v>
      </c>
      <c r="L606" s="416">
        <f>IF(L$601&gt;$A606,$A606-$A605,L$601-SUM(L$604:L605))</f>
        <v>1</v>
      </c>
      <c r="M606" s="283"/>
      <c r="N606" s="405">
        <f t="shared" si="251"/>
        <v>0.68</v>
      </c>
      <c r="O606" s="95">
        <f t="shared" si="251"/>
        <v>0.68</v>
      </c>
      <c r="P606" s="95">
        <f t="shared" si="251"/>
        <v>0.68</v>
      </c>
      <c r="Q606" s="95">
        <f t="shared" si="251"/>
        <v>0.68</v>
      </c>
      <c r="R606" s="95">
        <f t="shared" si="251"/>
        <v>0.68</v>
      </c>
      <c r="S606" s="95">
        <f t="shared" si="251"/>
        <v>0.68</v>
      </c>
      <c r="T606" s="95">
        <f t="shared" si="251"/>
        <v>0.68</v>
      </c>
      <c r="U606" s="95">
        <f t="shared" si="251"/>
        <v>0.68</v>
      </c>
      <c r="V606" s="95">
        <f t="shared" si="251"/>
        <v>0.68</v>
      </c>
      <c r="W606" s="95">
        <f t="shared" si="251"/>
        <v>0.68</v>
      </c>
      <c r="X606" s="283"/>
    </row>
    <row r="607" spans="1:24" s="8" customFormat="1" outlineLevel="2">
      <c r="A607" s="416">
        <f>D$54</f>
        <v>5</v>
      </c>
      <c r="B607" s="416">
        <f>B$54</f>
        <v>0.45</v>
      </c>
      <c r="C607" s="411">
        <f>IF(C$601&gt;$A607,$A607-$A606,C$601-SUM(C$604:C606))</f>
        <v>3</v>
      </c>
      <c r="D607" s="416">
        <f>IF(D$601&gt;$A607,$A607-$A606,D$601-SUM(D$604:D606))</f>
        <v>3</v>
      </c>
      <c r="E607" s="416">
        <f>IF(E$601&gt;$A607,$A607-$A606,E$601-SUM(E$604:E606))</f>
        <v>3</v>
      </c>
      <c r="F607" s="416">
        <f>IF(F$601&gt;$A607,$A607-$A606,F$601-SUM(F$604:F606))</f>
        <v>3</v>
      </c>
      <c r="G607" s="416">
        <f>IF(G$601&gt;$A607,$A607-$A606,G$601-SUM(G$604:G606))</f>
        <v>3</v>
      </c>
      <c r="H607" s="416">
        <f>IF(H$601&gt;$A607,$A607-$A606,H$601-SUM(H$604:H606))</f>
        <v>3</v>
      </c>
      <c r="I607" s="416">
        <f>IF(I$601&gt;$A607,$A607-$A606,I$601-SUM(I$604:I606))</f>
        <v>3</v>
      </c>
      <c r="J607" s="416">
        <f>IF(J$601&gt;$A607,$A607-$A606,J$601-SUM(J$604:J606))</f>
        <v>3</v>
      </c>
      <c r="K607" s="416">
        <f>IF(K$601&gt;$A607,$A607-$A606,K$601-SUM(K$604:K606))</f>
        <v>3</v>
      </c>
      <c r="L607" s="416">
        <f>IF(L$601&gt;$A607,$A607-$A606,L$601-SUM(L$604:L606))</f>
        <v>3</v>
      </c>
      <c r="M607" s="283"/>
      <c r="N607" s="405">
        <f t="shared" si="251"/>
        <v>1.35</v>
      </c>
      <c r="O607" s="95">
        <f t="shared" si="251"/>
        <v>1.35</v>
      </c>
      <c r="P607" s="95">
        <f t="shared" si="251"/>
        <v>1.35</v>
      </c>
      <c r="Q607" s="95">
        <f t="shared" si="251"/>
        <v>1.35</v>
      </c>
      <c r="R607" s="95">
        <f t="shared" si="251"/>
        <v>1.35</v>
      </c>
      <c r="S607" s="95">
        <f t="shared" si="251"/>
        <v>1.35</v>
      </c>
      <c r="T607" s="95">
        <f t="shared" si="251"/>
        <v>1.35</v>
      </c>
      <c r="U607" s="95">
        <f t="shared" si="251"/>
        <v>1.35</v>
      </c>
      <c r="V607" s="95">
        <f t="shared" si="251"/>
        <v>1.35</v>
      </c>
      <c r="W607" s="95">
        <f t="shared" si="251"/>
        <v>1.35</v>
      </c>
      <c r="X607" s="283"/>
    </row>
    <row r="608" spans="1:24" s="8" customFormat="1" outlineLevel="2">
      <c r="A608" s="416">
        <f>D$55</f>
        <v>10</v>
      </c>
      <c r="B608" s="416">
        <f>B$55</f>
        <v>0.42</v>
      </c>
      <c r="C608" s="411">
        <f>IF(C$601&gt;$A608,$A608-$A607,C$601-SUM(C$604:C607))</f>
        <v>5</v>
      </c>
      <c r="D608" s="416">
        <f>IF(D$601&gt;$A608,$A608-$A607,D$601-SUM(D$604:D607))</f>
        <v>5</v>
      </c>
      <c r="E608" s="416">
        <f>IF(E$601&gt;$A608,$A608-$A607,E$601-SUM(E$604:E607))</f>
        <v>5</v>
      </c>
      <c r="F608" s="416">
        <f>IF(F$601&gt;$A608,$A608-$A607,F$601-SUM(F$604:F607))</f>
        <v>5</v>
      </c>
      <c r="G608" s="416">
        <f>IF(G$601&gt;$A608,$A608-$A607,G$601-SUM(G$604:G607))</f>
        <v>5</v>
      </c>
      <c r="H608" s="416">
        <f>IF(H$601&gt;$A608,$A608-$A607,H$601-SUM(H$604:H607))</f>
        <v>5</v>
      </c>
      <c r="I608" s="416">
        <f>IF(I$601&gt;$A608,$A608-$A607,I$601-SUM(I$604:I607))</f>
        <v>5</v>
      </c>
      <c r="J608" s="416">
        <f>IF(J$601&gt;$A608,$A608-$A607,J$601-SUM(J$604:J607))</f>
        <v>5</v>
      </c>
      <c r="K608" s="416">
        <f>IF(K$601&gt;$A608,$A608-$A607,K$601-SUM(K$604:K607))</f>
        <v>5</v>
      </c>
      <c r="L608" s="416">
        <f>IF(L$601&gt;$A608,$A608-$A607,L$601-SUM(L$604:L607))</f>
        <v>5</v>
      </c>
      <c r="M608" s="283"/>
      <c r="N608" s="405">
        <f t="shared" si="251"/>
        <v>2.1</v>
      </c>
      <c r="O608" s="95">
        <f t="shared" si="251"/>
        <v>2.1</v>
      </c>
      <c r="P608" s="95">
        <f t="shared" si="251"/>
        <v>2.1</v>
      </c>
      <c r="Q608" s="95">
        <f t="shared" si="251"/>
        <v>2.1</v>
      </c>
      <c r="R608" s="95">
        <f t="shared" si="251"/>
        <v>2.1</v>
      </c>
      <c r="S608" s="95">
        <f t="shared" si="251"/>
        <v>2.1</v>
      </c>
      <c r="T608" s="95">
        <f t="shared" si="251"/>
        <v>2.1</v>
      </c>
      <c r="U608" s="95">
        <f t="shared" si="251"/>
        <v>2.1</v>
      </c>
      <c r="V608" s="95">
        <f t="shared" si="251"/>
        <v>2.1</v>
      </c>
      <c r="W608" s="95">
        <f t="shared" si="251"/>
        <v>2.1</v>
      </c>
      <c r="X608" s="283"/>
    </row>
    <row r="609" spans="1:24" s="8" customFormat="1" outlineLevel="2">
      <c r="A609" s="416">
        <f>D$56</f>
        <v>20</v>
      </c>
      <c r="B609" s="416">
        <f>B$56</f>
        <v>0.22</v>
      </c>
      <c r="C609" s="411">
        <f>IF(C$601&gt;$A609,$A609-$A608,C$601-SUM(C$604:C608))</f>
        <v>10</v>
      </c>
      <c r="D609" s="416">
        <f>IF(D$601&gt;$A609,$A609-$A608,D$601-SUM(D$604:D608))</f>
        <v>10</v>
      </c>
      <c r="E609" s="416">
        <f>IF(E$601&gt;$A609,$A609-$A608,E$601-SUM(E$604:E608))</f>
        <v>10</v>
      </c>
      <c r="F609" s="416">
        <f>IF(F$601&gt;$A609,$A609-$A608,F$601-SUM(F$604:F608))</f>
        <v>10</v>
      </c>
      <c r="G609" s="416">
        <f>IF(G$601&gt;$A609,$A609-$A608,G$601-SUM(G$604:G608))</f>
        <v>10</v>
      </c>
      <c r="H609" s="416">
        <f>IF(H$601&gt;$A609,$A609-$A608,H$601-SUM(H$604:H608))</f>
        <v>10</v>
      </c>
      <c r="I609" s="416">
        <f>IF(I$601&gt;$A609,$A609-$A608,I$601-SUM(I$604:I608))</f>
        <v>10</v>
      </c>
      <c r="J609" s="416">
        <f>IF(J$601&gt;$A609,$A609-$A608,J$601-SUM(J$604:J608))</f>
        <v>10</v>
      </c>
      <c r="K609" s="416">
        <f>IF(K$601&gt;$A609,$A609-$A608,K$601-SUM(K$604:K608))</f>
        <v>10</v>
      </c>
      <c r="L609" s="416">
        <f>IF(L$601&gt;$A609,$A609-$A608,L$601-SUM(L$604:L608))</f>
        <v>5.0999999999999996</v>
      </c>
      <c r="M609" s="283"/>
      <c r="N609" s="405">
        <f t="shared" si="251"/>
        <v>2.2000000000000002</v>
      </c>
      <c r="O609" s="95">
        <f t="shared" si="251"/>
        <v>2.2000000000000002</v>
      </c>
      <c r="P609" s="95">
        <f t="shared" si="251"/>
        <v>2.2000000000000002</v>
      </c>
      <c r="Q609" s="95">
        <f t="shared" si="251"/>
        <v>2.2000000000000002</v>
      </c>
      <c r="R609" s="95">
        <f t="shared" si="251"/>
        <v>2.2000000000000002</v>
      </c>
      <c r="S609" s="95">
        <f t="shared" si="251"/>
        <v>2.2000000000000002</v>
      </c>
      <c r="T609" s="95">
        <f t="shared" si="251"/>
        <v>2.2000000000000002</v>
      </c>
      <c r="U609" s="95">
        <f t="shared" si="251"/>
        <v>2.2000000000000002</v>
      </c>
      <c r="V609" s="95">
        <f t="shared" si="251"/>
        <v>2.2000000000000002</v>
      </c>
      <c r="W609" s="95">
        <f t="shared" si="251"/>
        <v>1.1219999999999999</v>
      </c>
      <c r="X609" s="283"/>
    </row>
    <row r="610" spans="1:24" s="8" customFormat="1" outlineLevel="2">
      <c r="A610" s="416">
        <f>D$57</f>
        <v>50</v>
      </c>
      <c r="B610" s="416">
        <f>B$57</f>
        <v>0.2</v>
      </c>
      <c r="C610" s="411">
        <f>IF(C$601&gt;$A610,$A610-$A609,C$601-SUM(C$604:C609))</f>
        <v>30</v>
      </c>
      <c r="D610" s="416">
        <f>IF(D$601&gt;$A610,$A610-$A609,D$601-SUM(D$604:D609))</f>
        <v>30</v>
      </c>
      <c r="E610" s="416">
        <f>IF(E$601&gt;$A610,$A610-$A609,E$601-SUM(E$604:E609))</f>
        <v>30</v>
      </c>
      <c r="F610" s="416">
        <f>IF(F$601&gt;$A610,$A610-$A609,F$601-SUM(F$604:F609))</f>
        <v>23.100000000000009</v>
      </c>
      <c r="G610" s="416">
        <f>IF(G$601&gt;$A610,$A610-$A609,G$601-SUM(G$604:G609))</f>
        <v>14.200000000000003</v>
      </c>
      <c r="H610" s="416">
        <f>IF(H$601&gt;$A610,$A610-$A609,H$601-SUM(H$604:H609))</f>
        <v>11</v>
      </c>
      <c r="I610" s="416">
        <f>IF(I$601&gt;$A610,$A610-$A609,I$601-SUM(I$604:I609))</f>
        <v>18.399999999999999</v>
      </c>
      <c r="J610" s="416">
        <f>IF(J$601&gt;$A610,$A610-$A609,J$601-SUM(J$604:J609))</f>
        <v>20</v>
      </c>
      <c r="K610" s="416">
        <f>IF(K$601&gt;$A610,$A610-$A609,K$601-SUM(K$604:K609))</f>
        <v>9.3999999999999986</v>
      </c>
      <c r="L610" s="416">
        <f>IF(L$601&gt;$A610,$A610-$A609,L$601-SUM(L$604:L609))</f>
        <v>0</v>
      </c>
      <c r="M610" s="283"/>
      <c r="N610" s="405">
        <f t="shared" si="251"/>
        <v>6</v>
      </c>
      <c r="O610" s="95">
        <f t="shared" si="251"/>
        <v>6</v>
      </c>
      <c r="P610" s="95">
        <f t="shared" si="251"/>
        <v>6</v>
      </c>
      <c r="Q610" s="95">
        <f t="shared" si="251"/>
        <v>4.6200000000000019</v>
      </c>
      <c r="R610" s="95">
        <f t="shared" si="251"/>
        <v>2.8400000000000007</v>
      </c>
      <c r="S610" s="95">
        <f t="shared" si="251"/>
        <v>2.2000000000000002</v>
      </c>
      <c r="T610" s="95">
        <f t="shared" si="251"/>
        <v>3.6799999999999997</v>
      </c>
      <c r="U610" s="95">
        <f t="shared" si="251"/>
        <v>4</v>
      </c>
      <c r="V610" s="95">
        <f t="shared" si="251"/>
        <v>1.88</v>
      </c>
      <c r="W610" s="95">
        <f t="shared" si="251"/>
        <v>0</v>
      </c>
      <c r="X610" s="283"/>
    </row>
    <row r="611" spans="1:24" s="8" customFormat="1" outlineLevel="2">
      <c r="A611" s="416">
        <f>D$58</f>
        <v>75</v>
      </c>
      <c r="B611" s="416">
        <f>B$58</f>
        <v>0.15</v>
      </c>
      <c r="C611" s="411">
        <f>IF(C$601&gt;$A611,$A611-$A610,C$601-SUM(C$604:C610))</f>
        <v>25</v>
      </c>
      <c r="D611" s="416">
        <f>IF(D$601&gt;$A611,$A611-$A610,D$601-SUM(D$604:D610))</f>
        <v>25</v>
      </c>
      <c r="E611" s="416">
        <f>IF(E$601&gt;$A611,$A611-$A610,E$601-SUM(E$604:E610))</f>
        <v>7.2999999999999972</v>
      </c>
      <c r="F611" s="416">
        <f>IF(F$601&gt;$A611,$A611-$A610,F$601-SUM(F$604:F610))</f>
        <v>0</v>
      </c>
      <c r="G611" s="416">
        <f>IF(G$601&gt;$A611,$A611-$A610,G$601-SUM(G$604:G610))</f>
        <v>0</v>
      </c>
      <c r="H611" s="416">
        <f>IF(H$601&gt;$A611,$A611-$A610,H$601-SUM(H$604:H610))</f>
        <v>0</v>
      </c>
      <c r="I611" s="416">
        <f>IF(I$601&gt;$A611,$A611-$A610,I$601-SUM(I$604:I610))</f>
        <v>0</v>
      </c>
      <c r="J611" s="416">
        <f>IF(J$601&gt;$A611,$A611-$A610,J$601-SUM(J$604:J610))</f>
        <v>0</v>
      </c>
      <c r="K611" s="416">
        <f>IF(K$601&gt;$A611,$A611-$A610,K$601-SUM(K$604:K610))</f>
        <v>0</v>
      </c>
      <c r="L611" s="416">
        <f>IF(L$601&gt;$A611,$A611-$A610,L$601-SUM(L$604:L610))</f>
        <v>0</v>
      </c>
      <c r="M611" s="283"/>
      <c r="N611" s="405">
        <f t="shared" si="251"/>
        <v>3.75</v>
      </c>
      <c r="O611" s="95">
        <f t="shared" si="251"/>
        <v>3.75</v>
      </c>
      <c r="P611" s="95">
        <f t="shared" si="251"/>
        <v>1.0949999999999995</v>
      </c>
      <c r="Q611" s="95">
        <f t="shared" si="251"/>
        <v>0</v>
      </c>
      <c r="R611" s="95">
        <f t="shared" si="251"/>
        <v>0</v>
      </c>
      <c r="S611" s="95">
        <f t="shared" si="251"/>
        <v>0</v>
      </c>
      <c r="T611" s="95">
        <f t="shared" si="251"/>
        <v>0</v>
      </c>
      <c r="U611" s="95">
        <f t="shared" si="251"/>
        <v>0</v>
      </c>
      <c r="V611" s="95">
        <f t="shared" si="251"/>
        <v>0</v>
      </c>
      <c r="W611" s="95">
        <f t="shared" si="251"/>
        <v>0</v>
      </c>
      <c r="X611" s="283"/>
    </row>
    <row r="612" spans="1:24" s="8" customFormat="1" outlineLevel="2">
      <c r="A612" s="416">
        <f>D$59</f>
        <v>9999</v>
      </c>
      <c r="B612" s="416">
        <f>B$59</f>
        <v>0.1</v>
      </c>
      <c r="C612" s="411">
        <f>IF(C$601&gt;$A612,$A612-$A611,C$601-SUM(C$604:C611))</f>
        <v>28.400000000000006</v>
      </c>
      <c r="D612" s="416">
        <f>IF(D$601&gt;$A612,$A612-$A611,D$601-SUM(D$604:D611))</f>
        <v>19.950000000000003</v>
      </c>
      <c r="E612" s="416">
        <f>IF(E$601&gt;$A612,$A612-$A611,E$601-SUM(E$604:E611))</f>
        <v>0</v>
      </c>
      <c r="F612" s="416">
        <f>IF(F$601&gt;$A612,$A612-$A611,F$601-SUM(F$604:F611))</f>
        <v>0</v>
      </c>
      <c r="G612" s="416">
        <f>IF(G$601&gt;$A612,$A612-$A611,G$601-SUM(G$604:G611))</f>
        <v>0</v>
      </c>
      <c r="H612" s="416">
        <f>IF(H$601&gt;$A612,$A612-$A611,H$601-SUM(H$604:H611))</f>
        <v>0</v>
      </c>
      <c r="I612" s="416">
        <f>IF(I$601&gt;$A612,$A612-$A611,I$601-SUM(I$604:I611))</f>
        <v>0</v>
      </c>
      <c r="J612" s="416">
        <f>IF(J$601&gt;$A612,$A612-$A611,J$601-SUM(J$604:J611))</f>
        <v>0</v>
      </c>
      <c r="K612" s="416">
        <f>IF(K$601&gt;$A612,$A612-$A611,K$601-SUM(K$604:K611))</f>
        <v>0</v>
      </c>
      <c r="L612" s="416">
        <f>IF(L$601&gt;$A612,$A612-$A611,L$601-SUM(L$604:L611))</f>
        <v>0</v>
      </c>
      <c r="M612" s="283"/>
      <c r="N612" s="405">
        <f t="shared" si="251"/>
        <v>2.8400000000000007</v>
      </c>
      <c r="O612" s="95">
        <f t="shared" si="251"/>
        <v>1.9950000000000003</v>
      </c>
      <c r="P612" s="95">
        <f t="shared" si="251"/>
        <v>0</v>
      </c>
      <c r="Q612" s="95">
        <f t="shared" si="251"/>
        <v>0</v>
      </c>
      <c r="R612" s="95">
        <f t="shared" si="251"/>
        <v>0</v>
      </c>
      <c r="S612" s="95">
        <f t="shared" si="251"/>
        <v>0</v>
      </c>
      <c r="T612" s="95">
        <f t="shared" si="251"/>
        <v>0</v>
      </c>
      <c r="U612" s="95">
        <f t="shared" si="251"/>
        <v>0</v>
      </c>
      <c r="V612" s="95">
        <f t="shared" si="251"/>
        <v>0</v>
      </c>
      <c r="W612" s="95">
        <f t="shared" si="251"/>
        <v>0</v>
      </c>
      <c r="X612" s="283"/>
    </row>
    <row r="613" spans="1:24" s="8" customFormat="1" outlineLevel="1">
      <c r="A613" s="404"/>
      <c r="B613" s="417" t="str">
        <f>CONCATENATE(B600," Total")</f>
        <v>Sony Total</v>
      </c>
      <c r="C613" s="418">
        <f>SUM(C604:C612)</f>
        <v>103.4</v>
      </c>
      <c r="D613" s="419">
        <f t="shared" ref="D613:L613" si="252">SUM(D604:D612)</f>
        <v>94.95</v>
      </c>
      <c r="E613" s="419">
        <f t="shared" si="252"/>
        <v>57.3</v>
      </c>
      <c r="F613" s="419">
        <f t="shared" si="252"/>
        <v>43.100000000000009</v>
      </c>
      <c r="G613" s="419">
        <f t="shared" si="252"/>
        <v>34.200000000000003</v>
      </c>
      <c r="H613" s="419">
        <f t="shared" si="252"/>
        <v>31</v>
      </c>
      <c r="I613" s="419">
        <f t="shared" si="252"/>
        <v>38.4</v>
      </c>
      <c r="J613" s="419">
        <f t="shared" si="252"/>
        <v>40</v>
      </c>
      <c r="K613" s="419">
        <f t="shared" si="252"/>
        <v>29.4</v>
      </c>
      <c r="L613" s="419">
        <f t="shared" si="252"/>
        <v>15.1</v>
      </c>
      <c r="M613" s="283"/>
      <c r="N613" s="420">
        <f>SUM(N604:N612)</f>
        <v>19.8</v>
      </c>
      <c r="O613" s="420">
        <f t="shared" ref="O613:W613" si="253">SUM(O604:O612)</f>
        <v>18.955000000000002</v>
      </c>
      <c r="P613" s="420">
        <f t="shared" si="253"/>
        <v>14.305</v>
      </c>
      <c r="Q613" s="420">
        <f t="shared" si="253"/>
        <v>11.830000000000002</v>
      </c>
      <c r="R613" s="420">
        <f t="shared" si="253"/>
        <v>10.050000000000001</v>
      </c>
      <c r="S613" s="420">
        <f t="shared" si="253"/>
        <v>9.41</v>
      </c>
      <c r="T613" s="420">
        <f t="shared" si="253"/>
        <v>10.89</v>
      </c>
      <c r="U613" s="420">
        <f t="shared" si="253"/>
        <v>11.21</v>
      </c>
      <c r="V613" s="420">
        <f t="shared" si="253"/>
        <v>9.09</v>
      </c>
      <c r="W613" s="420">
        <f t="shared" si="253"/>
        <v>6.1319999999999997</v>
      </c>
      <c r="X613" s="283"/>
    </row>
    <row r="614" spans="1:24" s="8" customFormat="1" outlineLevel="1">
      <c r="B614" s="421" t="s">
        <v>778</v>
      </c>
      <c r="C614" s="422">
        <f t="shared" ref="C614:L614" si="254">C613-C601</f>
        <v>0</v>
      </c>
      <c r="D614" s="423">
        <f t="shared" si="254"/>
        <v>0</v>
      </c>
      <c r="E614" s="423">
        <f t="shared" si="254"/>
        <v>0</v>
      </c>
      <c r="F614" s="423">
        <f t="shared" si="254"/>
        <v>0</v>
      </c>
      <c r="G614" s="423">
        <f t="shared" si="254"/>
        <v>0</v>
      </c>
      <c r="H614" s="423">
        <f t="shared" si="254"/>
        <v>0</v>
      </c>
      <c r="I614" s="423">
        <f t="shared" si="254"/>
        <v>0</v>
      </c>
      <c r="J614" s="423">
        <f t="shared" si="254"/>
        <v>0</v>
      </c>
      <c r="K614" s="423">
        <f t="shared" si="254"/>
        <v>0</v>
      </c>
      <c r="L614" s="423">
        <f t="shared" si="254"/>
        <v>0</v>
      </c>
      <c r="M614" s="283"/>
      <c r="N614" s="283"/>
      <c r="O614" s="283"/>
      <c r="P614" s="283"/>
      <c r="Q614" s="283"/>
      <c r="R614" s="283"/>
      <c r="S614" s="283"/>
      <c r="T614" s="283"/>
      <c r="U614" s="283"/>
      <c r="V614" s="283"/>
      <c r="W614" s="283"/>
      <c r="X614" s="283"/>
    </row>
    <row r="615" spans="1:24" s="8" customFormat="1" outlineLevel="1">
      <c r="C615" s="283"/>
      <c r="M615" s="283"/>
      <c r="X615" s="283"/>
    </row>
    <row r="616" spans="1:24" s="8" customFormat="1" outlineLevel="1" collapsed="1">
      <c r="A616" s="8">
        <f>A600+1</f>
        <v>28</v>
      </c>
      <c r="B616" s="424" t="str">
        <f>A167</f>
        <v>Spice</v>
      </c>
      <c r="C616" s="80">
        <v>2007</v>
      </c>
      <c r="D616" s="66">
        <f>C616+1</f>
        <v>2008</v>
      </c>
      <c r="E616" s="66">
        <f t="shared" ref="E616:L616" si="255">D616+1</f>
        <v>2009</v>
      </c>
      <c r="F616" s="66">
        <f t="shared" si="255"/>
        <v>2010</v>
      </c>
      <c r="G616" s="66">
        <f t="shared" si="255"/>
        <v>2011</v>
      </c>
      <c r="H616" s="66">
        <f t="shared" si="255"/>
        <v>2012</v>
      </c>
      <c r="I616" s="66">
        <f t="shared" si="255"/>
        <v>2013</v>
      </c>
      <c r="J616" s="66">
        <f t="shared" si="255"/>
        <v>2014</v>
      </c>
      <c r="K616" s="66">
        <f t="shared" si="255"/>
        <v>2015</v>
      </c>
      <c r="L616" s="66">
        <f t="shared" si="255"/>
        <v>2016</v>
      </c>
      <c r="M616" s="283"/>
      <c r="N616" s="168">
        <f t="shared" ref="N616:W616" si="256">C616</f>
        <v>2007</v>
      </c>
      <c r="O616" s="66">
        <f t="shared" si="256"/>
        <v>2008</v>
      </c>
      <c r="P616" s="66">
        <f t="shared" si="256"/>
        <v>2009</v>
      </c>
      <c r="Q616" s="66">
        <f t="shared" si="256"/>
        <v>2010</v>
      </c>
      <c r="R616" s="66">
        <f t="shared" si="256"/>
        <v>2011</v>
      </c>
      <c r="S616" s="66">
        <f t="shared" si="256"/>
        <v>2012</v>
      </c>
      <c r="T616" s="66">
        <f t="shared" si="256"/>
        <v>2013</v>
      </c>
      <c r="U616" s="66">
        <f t="shared" si="256"/>
        <v>2014</v>
      </c>
      <c r="V616" s="66">
        <f t="shared" si="256"/>
        <v>2015</v>
      </c>
      <c r="W616" s="66">
        <f t="shared" si="256"/>
        <v>2016</v>
      </c>
      <c r="X616" s="283"/>
    </row>
    <row r="617" spans="1:24" s="8" customFormat="1" outlineLevel="2">
      <c r="B617" s="8" t="s">
        <v>1348</v>
      </c>
      <c r="C617" s="411">
        <f t="shared" ref="C617:L617" si="257">VLOOKUP($B616,$A$140:$K$175,C$183+1,FALSE)</f>
        <v>0</v>
      </c>
      <c r="D617" s="412">
        <f t="shared" si="257"/>
        <v>0</v>
      </c>
      <c r="E617" s="412">
        <f t="shared" si="257"/>
        <v>0</v>
      </c>
      <c r="F617" s="412">
        <f t="shared" si="257"/>
        <v>0</v>
      </c>
      <c r="G617" s="412">
        <f t="shared" si="257"/>
        <v>0</v>
      </c>
      <c r="H617" s="412">
        <f t="shared" si="257"/>
        <v>0</v>
      </c>
      <c r="I617" s="412">
        <f t="shared" si="257"/>
        <v>0</v>
      </c>
      <c r="J617" s="412">
        <f t="shared" si="257"/>
        <v>0</v>
      </c>
      <c r="K617" s="412">
        <f t="shared" si="257"/>
        <v>0</v>
      </c>
      <c r="L617" s="412">
        <f t="shared" si="257"/>
        <v>0</v>
      </c>
      <c r="M617" s="283"/>
      <c r="N617" s="283"/>
      <c r="X617" s="283"/>
    </row>
    <row r="618" spans="1:24" s="8" customFormat="1" outlineLevel="2">
      <c r="C618" s="413"/>
      <c r="D618" s="414"/>
      <c r="E618" s="414"/>
      <c r="F618" s="414"/>
      <c r="G618" s="414"/>
      <c r="H618" s="414"/>
      <c r="I618" s="414"/>
      <c r="J618" s="414"/>
      <c r="K618" s="414"/>
      <c r="L618" s="414"/>
      <c r="M618" s="283"/>
      <c r="N618" s="283"/>
      <c r="X618" s="283"/>
    </row>
    <row r="619" spans="1:24" s="8" customFormat="1" outlineLevel="2">
      <c r="A619" s="66" t="s">
        <v>1349</v>
      </c>
      <c r="B619" s="66" t="s">
        <v>1350</v>
      </c>
      <c r="C619" s="415"/>
      <c r="F619" s="9"/>
      <c r="M619" s="283"/>
      <c r="N619" s="283"/>
      <c r="X619" s="283"/>
    </row>
    <row r="620" spans="1:24" s="8" customFormat="1" outlineLevel="2">
      <c r="A620" s="416">
        <f>D$51</f>
        <v>0.5</v>
      </c>
      <c r="B620" s="416">
        <f>B$51</f>
        <v>0.98</v>
      </c>
      <c r="C620" s="411">
        <f>IF(C$617&gt;$A620,$A620,C$617)</f>
        <v>0</v>
      </c>
      <c r="D620" s="416">
        <f t="shared" ref="D620:L620" si="258">IF(D$617&gt;$A620,$A620,D$617)</f>
        <v>0</v>
      </c>
      <c r="E620" s="416">
        <f t="shared" si="258"/>
        <v>0</v>
      </c>
      <c r="F620" s="416">
        <f t="shared" si="258"/>
        <v>0</v>
      </c>
      <c r="G620" s="416">
        <f t="shared" si="258"/>
        <v>0</v>
      </c>
      <c r="H620" s="416">
        <f t="shared" si="258"/>
        <v>0</v>
      </c>
      <c r="I620" s="416">
        <f t="shared" si="258"/>
        <v>0</v>
      </c>
      <c r="J620" s="416">
        <f t="shared" si="258"/>
        <v>0</v>
      </c>
      <c r="K620" s="416">
        <f t="shared" si="258"/>
        <v>0</v>
      </c>
      <c r="L620" s="416">
        <f t="shared" si="258"/>
        <v>0</v>
      </c>
      <c r="M620" s="283"/>
      <c r="N620" s="405">
        <f t="shared" ref="N620:W628" si="259">C620*$B620</f>
        <v>0</v>
      </c>
      <c r="O620" s="95">
        <f t="shared" si="259"/>
        <v>0</v>
      </c>
      <c r="P620" s="95">
        <f t="shared" si="259"/>
        <v>0</v>
      </c>
      <c r="Q620" s="95">
        <f t="shared" si="259"/>
        <v>0</v>
      </c>
      <c r="R620" s="95">
        <f t="shared" si="259"/>
        <v>0</v>
      </c>
      <c r="S620" s="95">
        <f t="shared" si="259"/>
        <v>0</v>
      </c>
      <c r="T620" s="95">
        <f t="shared" si="259"/>
        <v>0</v>
      </c>
      <c r="U620" s="95">
        <f t="shared" si="259"/>
        <v>0</v>
      </c>
      <c r="V620" s="95">
        <f t="shared" si="259"/>
        <v>0</v>
      </c>
      <c r="W620" s="95">
        <f t="shared" si="259"/>
        <v>0</v>
      </c>
      <c r="X620" s="283"/>
    </row>
    <row r="621" spans="1:24" s="8" customFormat="1" outlineLevel="2">
      <c r="A621" s="416">
        <f>D$52</f>
        <v>1</v>
      </c>
      <c r="B621" s="416">
        <f>B$52</f>
        <v>0.78</v>
      </c>
      <c r="C621" s="411">
        <f>IF(C$617&gt;$A621,$A621-$A620,C$617-SUM(C620:C$620))</f>
        <v>0</v>
      </c>
      <c r="D621" s="416">
        <f>IF(D$617&gt;$A621,$A621-$A620,D$617-SUM(D620:D$620))</f>
        <v>0</v>
      </c>
      <c r="E621" s="416">
        <f>IF(E$617&gt;$A621,$A621-$A620,E$617-SUM(E620:E$620))</f>
        <v>0</v>
      </c>
      <c r="F621" s="416">
        <f>IF(F$617&gt;$A621,$A621-$A620,F$617-SUM(F620:F$620))</f>
        <v>0</v>
      </c>
      <c r="G621" s="416">
        <f>IF(G$617&gt;$A621,$A621-$A620,G$617-SUM(G620:G$620))</f>
        <v>0</v>
      </c>
      <c r="H621" s="416">
        <f>IF(H$617&gt;$A621,$A621-$A620,H$617-SUM(H620:H$620))</f>
        <v>0</v>
      </c>
      <c r="I621" s="416">
        <f>IF(I$617&gt;$A621,$A621-$A620,I$617-SUM(I620:I$620))</f>
        <v>0</v>
      </c>
      <c r="J621" s="416">
        <f>IF(J$617&gt;$A621,$A621-$A620,J$617-SUM(J620:J$620))</f>
        <v>0</v>
      </c>
      <c r="K621" s="416">
        <f>IF(K$617&gt;$A621,$A621-$A620,K$617-SUM(K620:K$620))</f>
        <v>0</v>
      </c>
      <c r="L621" s="416">
        <f>IF(L$617&gt;$A621,$A621-$A620,L$617-SUM(L620:L$620))</f>
        <v>0</v>
      </c>
      <c r="M621" s="283"/>
      <c r="N621" s="405">
        <f t="shared" si="259"/>
        <v>0</v>
      </c>
      <c r="O621" s="95">
        <f t="shared" si="259"/>
        <v>0</v>
      </c>
      <c r="P621" s="95">
        <f t="shared" si="259"/>
        <v>0</v>
      </c>
      <c r="Q621" s="95">
        <f t="shared" si="259"/>
        <v>0</v>
      </c>
      <c r="R621" s="95">
        <f t="shared" si="259"/>
        <v>0</v>
      </c>
      <c r="S621" s="95">
        <f t="shared" si="259"/>
        <v>0</v>
      </c>
      <c r="T621" s="95">
        <f t="shared" si="259"/>
        <v>0</v>
      </c>
      <c r="U621" s="95">
        <f t="shared" si="259"/>
        <v>0</v>
      </c>
      <c r="V621" s="95">
        <f t="shared" si="259"/>
        <v>0</v>
      </c>
      <c r="W621" s="95">
        <f t="shared" si="259"/>
        <v>0</v>
      </c>
      <c r="X621" s="283"/>
    </row>
    <row r="622" spans="1:24" s="8" customFormat="1" outlineLevel="2">
      <c r="A622" s="416">
        <f>D$53</f>
        <v>2</v>
      </c>
      <c r="B622" s="416">
        <f>B$53</f>
        <v>0.68</v>
      </c>
      <c r="C622" s="411">
        <f>IF(C$617&gt;$A622,$A622-$A621,C$617-SUM(C$620:C621))</f>
        <v>0</v>
      </c>
      <c r="D622" s="416">
        <f>IF(D$617&gt;$A622,$A622-$A621,D$617-SUM(D$620:D621))</f>
        <v>0</v>
      </c>
      <c r="E622" s="416">
        <f>IF(E$617&gt;$A622,$A622-$A621,E$617-SUM(E$620:E621))</f>
        <v>0</v>
      </c>
      <c r="F622" s="416">
        <f>IF(F$617&gt;$A622,$A622-$A621,F$617-SUM(F$620:F621))</f>
        <v>0</v>
      </c>
      <c r="G622" s="416">
        <f>IF(G$617&gt;$A622,$A622-$A621,G$617-SUM(G$620:G621))</f>
        <v>0</v>
      </c>
      <c r="H622" s="416">
        <f>IF(H$617&gt;$A622,$A622-$A621,H$617-SUM(H$620:H621))</f>
        <v>0</v>
      </c>
      <c r="I622" s="416">
        <f>IF(I$617&gt;$A622,$A622-$A621,I$617-SUM(I$620:I621))</f>
        <v>0</v>
      </c>
      <c r="J622" s="416">
        <f>IF(J$617&gt;$A622,$A622-$A621,J$617-SUM(J$620:J621))</f>
        <v>0</v>
      </c>
      <c r="K622" s="416">
        <f>IF(K$617&gt;$A622,$A622-$A621,K$617-SUM(K$620:K621))</f>
        <v>0</v>
      </c>
      <c r="L622" s="416">
        <f>IF(L$617&gt;$A622,$A622-$A621,L$617-SUM(L$620:L621))</f>
        <v>0</v>
      </c>
      <c r="M622" s="283"/>
      <c r="N622" s="405">
        <f t="shared" si="259"/>
        <v>0</v>
      </c>
      <c r="O622" s="95">
        <f t="shared" si="259"/>
        <v>0</v>
      </c>
      <c r="P622" s="95">
        <f t="shared" si="259"/>
        <v>0</v>
      </c>
      <c r="Q622" s="95">
        <f t="shared" si="259"/>
        <v>0</v>
      </c>
      <c r="R622" s="95">
        <f t="shared" si="259"/>
        <v>0</v>
      </c>
      <c r="S622" s="95">
        <f t="shared" si="259"/>
        <v>0</v>
      </c>
      <c r="T622" s="95">
        <f t="shared" si="259"/>
        <v>0</v>
      </c>
      <c r="U622" s="95">
        <f t="shared" si="259"/>
        <v>0</v>
      </c>
      <c r="V622" s="95">
        <f t="shared" si="259"/>
        <v>0</v>
      </c>
      <c r="W622" s="95">
        <f t="shared" si="259"/>
        <v>0</v>
      </c>
      <c r="X622" s="283"/>
    </row>
    <row r="623" spans="1:24" s="8" customFormat="1" outlineLevel="2">
      <c r="A623" s="416">
        <f>D$54</f>
        <v>5</v>
      </c>
      <c r="B623" s="416">
        <f>B$54</f>
        <v>0.45</v>
      </c>
      <c r="C623" s="411">
        <f>IF(C$617&gt;$A623,$A623-$A622,C$617-SUM(C$620:C622))</f>
        <v>0</v>
      </c>
      <c r="D623" s="416">
        <f>IF(D$617&gt;$A623,$A623-$A622,D$617-SUM(D$620:D622))</f>
        <v>0</v>
      </c>
      <c r="E623" s="416">
        <f>IF(E$617&gt;$A623,$A623-$A622,E$617-SUM(E$620:E622))</f>
        <v>0</v>
      </c>
      <c r="F623" s="416">
        <f>IF(F$617&gt;$A623,$A623-$A622,F$617-SUM(F$620:F622))</f>
        <v>0</v>
      </c>
      <c r="G623" s="416">
        <f>IF(G$617&gt;$A623,$A623-$A622,G$617-SUM(G$620:G622))</f>
        <v>0</v>
      </c>
      <c r="H623" s="416">
        <f>IF(H$617&gt;$A623,$A623-$A622,H$617-SUM(H$620:H622))</f>
        <v>0</v>
      </c>
      <c r="I623" s="416">
        <f>IF(I$617&gt;$A623,$A623-$A622,I$617-SUM(I$620:I622))</f>
        <v>0</v>
      </c>
      <c r="J623" s="416">
        <f>IF(J$617&gt;$A623,$A623-$A622,J$617-SUM(J$620:J622))</f>
        <v>0</v>
      </c>
      <c r="K623" s="416">
        <f>IF(K$617&gt;$A623,$A623-$A622,K$617-SUM(K$620:K622))</f>
        <v>0</v>
      </c>
      <c r="L623" s="416">
        <f>IF(L$617&gt;$A623,$A623-$A622,L$617-SUM(L$620:L622))</f>
        <v>0</v>
      </c>
      <c r="M623" s="283"/>
      <c r="N623" s="405">
        <f t="shared" si="259"/>
        <v>0</v>
      </c>
      <c r="O623" s="95">
        <f t="shared" si="259"/>
        <v>0</v>
      </c>
      <c r="P623" s="95">
        <f t="shared" si="259"/>
        <v>0</v>
      </c>
      <c r="Q623" s="95">
        <f t="shared" si="259"/>
        <v>0</v>
      </c>
      <c r="R623" s="95">
        <f t="shared" si="259"/>
        <v>0</v>
      </c>
      <c r="S623" s="95">
        <f t="shared" si="259"/>
        <v>0</v>
      </c>
      <c r="T623" s="95">
        <f t="shared" si="259"/>
        <v>0</v>
      </c>
      <c r="U623" s="95">
        <f t="shared" si="259"/>
        <v>0</v>
      </c>
      <c r="V623" s="95">
        <f t="shared" si="259"/>
        <v>0</v>
      </c>
      <c r="W623" s="95">
        <f t="shared" si="259"/>
        <v>0</v>
      </c>
      <c r="X623" s="283"/>
    </row>
    <row r="624" spans="1:24" s="8" customFormat="1" outlineLevel="2">
      <c r="A624" s="416">
        <f>D$55</f>
        <v>10</v>
      </c>
      <c r="B624" s="416">
        <f>B$55</f>
        <v>0.42</v>
      </c>
      <c r="C624" s="411">
        <f>IF(C$617&gt;$A624,$A624-$A623,C$617-SUM(C$620:C623))</f>
        <v>0</v>
      </c>
      <c r="D624" s="416">
        <f>IF(D$617&gt;$A624,$A624-$A623,D$617-SUM(D$620:D623))</f>
        <v>0</v>
      </c>
      <c r="E624" s="416">
        <f>IF(E$617&gt;$A624,$A624-$A623,E$617-SUM(E$620:E623))</f>
        <v>0</v>
      </c>
      <c r="F624" s="416">
        <f>IF(F$617&gt;$A624,$A624-$A623,F$617-SUM(F$620:F623))</f>
        <v>0</v>
      </c>
      <c r="G624" s="416">
        <f>IF(G$617&gt;$A624,$A624-$A623,G$617-SUM(G$620:G623))</f>
        <v>0</v>
      </c>
      <c r="H624" s="416">
        <f>IF(H$617&gt;$A624,$A624-$A623,H$617-SUM(H$620:H623))</f>
        <v>0</v>
      </c>
      <c r="I624" s="416">
        <f>IF(I$617&gt;$A624,$A624-$A623,I$617-SUM(I$620:I623))</f>
        <v>0</v>
      </c>
      <c r="J624" s="416">
        <f>IF(J$617&gt;$A624,$A624-$A623,J$617-SUM(J$620:J623))</f>
        <v>0</v>
      </c>
      <c r="K624" s="416">
        <f>IF(K$617&gt;$A624,$A624-$A623,K$617-SUM(K$620:K623))</f>
        <v>0</v>
      </c>
      <c r="L624" s="416">
        <f>IF(L$617&gt;$A624,$A624-$A623,L$617-SUM(L$620:L623))</f>
        <v>0</v>
      </c>
      <c r="M624" s="283"/>
      <c r="N624" s="405">
        <f t="shared" si="259"/>
        <v>0</v>
      </c>
      <c r="O624" s="95">
        <f t="shared" si="259"/>
        <v>0</v>
      </c>
      <c r="P624" s="95">
        <f t="shared" si="259"/>
        <v>0</v>
      </c>
      <c r="Q624" s="95">
        <f t="shared" si="259"/>
        <v>0</v>
      </c>
      <c r="R624" s="95">
        <f t="shared" si="259"/>
        <v>0</v>
      </c>
      <c r="S624" s="95">
        <f t="shared" si="259"/>
        <v>0</v>
      </c>
      <c r="T624" s="95">
        <f t="shared" si="259"/>
        <v>0</v>
      </c>
      <c r="U624" s="95">
        <f t="shared" si="259"/>
        <v>0</v>
      </c>
      <c r="V624" s="95">
        <f t="shared" si="259"/>
        <v>0</v>
      </c>
      <c r="W624" s="95">
        <f t="shared" si="259"/>
        <v>0</v>
      </c>
      <c r="X624" s="283"/>
    </row>
    <row r="625" spans="1:24" s="8" customFormat="1" outlineLevel="2">
      <c r="A625" s="416">
        <f>D$56</f>
        <v>20</v>
      </c>
      <c r="B625" s="416">
        <f>B$56</f>
        <v>0.22</v>
      </c>
      <c r="C625" s="411">
        <f>IF(C$617&gt;$A625,$A625-$A624,C$617-SUM(C$620:C624))</f>
        <v>0</v>
      </c>
      <c r="D625" s="416">
        <f>IF(D$617&gt;$A625,$A625-$A624,D$617-SUM(D$620:D624))</f>
        <v>0</v>
      </c>
      <c r="E625" s="416">
        <f>IF(E$617&gt;$A625,$A625-$A624,E$617-SUM(E$620:E624))</f>
        <v>0</v>
      </c>
      <c r="F625" s="416">
        <f>IF(F$617&gt;$A625,$A625-$A624,F$617-SUM(F$620:F624))</f>
        <v>0</v>
      </c>
      <c r="G625" s="416">
        <f>IF(G$617&gt;$A625,$A625-$A624,G$617-SUM(G$620:G624))</f>
        <v>0</v>
      </c>
      <c r="H625" s="416">
        <f>IF(H$617&gt;$A625,$A625-$A624,H$617-SUM(H$620:H624))</f>
        <v>0</v>
      </c>
      <c r="I625" s="416">
        <f>IF(I$617&gt;$A625,$A625-$A624,I$617-SUM(I$620:I624))</f>
        <v>0</v>
      </c>
      <c r="J625" s="416">
        <f>IF(J$617&gt;$A625,$A625-$A624,J$617-SUM(J$620:J624))</f>
        <v>0</v>
      </c>
      <c r="K625" s="416">
        <f>IF(K$617&gt;$A625,$A625-$A624,K$617-SUM(K$620:K624))</f>
        <v>0</v>
      </c>
      <c r="L625" s="416">
        <f>IF(L$617&gt;$A625,$A625-$A624,L$617-SUM(L$620:L624))</f>
        <v>0</v>
      </c>
      <c r="M625" s="283"/>
      <c r="N625" s="405">
        <f t="shared" si="259"/>
        <v>0</v>
      </c>
      <c r="O625" s="95">
        <f t="shared" si="259"/>
        <v>0</v>
      </c>
      <c r="P625" s="95">
        <f t="shared" si="259"/>
        <v>0</v>
      </c>
      <c r="Q625" s="95">
        <f t="shared" si="259"/>
        <v>0</v>
      </c>
      <c r="R625" s="95">
        <f t="shared" si="259"/>
        <v>0</v>
      </c>
      <c r="S625" s="95">
        <f t="shared" si="259"/>
        <v>0</v>
      </c>
      <c r="T625" s="95">
        <f t="shared" si="259"/>
        <v>0</v>
      </c>
      <c r="U625" s="95">
        <f t="shared" si="259"/>
        <v>0</v>
      </c>
      <c r="V625" s="95">
        <f t="shared" si="259"/>
        <v>0</v>
      </c>
      <c r="W625" s="95">
        <f t="shared" si="259"/>
        <v>0</v>
      </c>
      <c r="X625" s="283"/>
    </row>
    <row r="626" spans="1:24" s="8" customFormat="1" outlineLevel="2">
      <c r="A626" s="416">
        <f>D$57</f>
        <v>50</v>
      </c>
      <c r="B626" s="416">
        <f>B$57</f>
        <v>0.2</v>
      </c>
      <c r="C626" s="411">
        <f>IF(C$617&gt;$A626,$A626-$A625,C$617-SUM(C$620:C625))</f>
        <v>0</v>
      </c>
      <c r="D626" s="416">
        <f>IF(D$617&gt;$A626,$A626-$A625,D$617-SUM(D$620:D625))</f>
        <v>0</v>
      </c>
      <c r="E626" s="416">
        <f>IF(E$617&gt;$A626,$A626-$A625,E$617-SUM(E$620:E625))</f>
        <v>0</v>
      </c>
      <c r="F626" s="416">
        <f>IF(F$617&gt;$A626,$A626-$A625,F$617-SUM(F$620:F625))</f>
        <v>0</v>
      </c>
      <c r="G626" s="416">
        <f>IF(G$617&gt;$A626,$A626-$A625,G$617-SUM(G$620:G625))</f>
        <v>0</v>
      </c>
      <c r="H626" s="416">
        <f>IF(H$617&gt;$A626,$A626-$A625,H$617-SUM(H$620:H625))</f>
        <v>0</v>
      </c>
      <c r="I626" s="416">
        <f>IF(I$617&gt;$A626,$A626-$A625,I$617-SUM(I$620:I625))</f>
        <v>0</v>
      </c>
      <c r="J626" s="416">
        <f>IF(J$617&gt;$A626,$A626-$A625,J$617-SUM(J$620:J625))</f>
        <v>0</v>
      </c>
      <c r="K626" s="416">
        <f>IF(K$617&gt;$A626,$A626-$A625,K$617-SUM(K$620:K625))</f>
        <v>0</v>
      </c>
      <c r="L626" s="416">
        <f>IF(L$617&gt;$A626,$A626-$A625,L$617-SUM(L$620:L625))</f>
        <v>0</v>
      </c>
      <c r="M626" s="283"/>
      <c r="N626" s="405">
        <f t="shared" si="259"/>
        <v>0</v>
      </c>
      <c r="O626" s="95">
        <f t="shared" si="259"/>
        <v>0</v>
      </c>
      <c r="P626" s="95">
        <f t="shared" si="259"/>
        <v>0</v>
      </c>
      <c r="Q626" s="95">
        <f t="shared" si="259"/>
        <v>0</v>
      </c>
      <c r="R626" s="95">
        <f t="shared" si="259"/>
        <v>0</v>
      </c>
      <c r="S626" s="95">
        <f t="shared" si="259"/>
        <v>0</v>
      </c>
      <c r="T626" s="95">
        <f t="shared" si="259"/>
        <v>0</v>
      </c>
      <c r="U626" s="95">
        <f t="shared" si="259"/>
        <v>0</v>
      </c>
      <c r="V626" s="95">
        <f t="shared" si="259"/>
        <v>0</v>
      </c>
      <c r="W626" s="95">
        <f t="shared" si="259"/>
        <v>0</v>
      </c>
      <c r="X626" s="283"/>
    </row>
    <row r="627" spans="1:24" s="8" customFormat="1" outlineLevel="2">
      <c r="A627" s="416">
        <f>D$58</f>
        <v>75</v>
      </c>
      <c r="B627" s="416">
        <f>B$58</f>
        <v>0.15</v>
      </c>
      <c r="C627" s="411">
        <f>IF(C$617&gt;$A627,$A627-$A626,C$617-SUM(C$620:C626))</f>
        <v>0</v>
      </c>
      <c r="D627" s="416">
        <f>IF(D$617&gt;$A627,$A627-$A626,D$617-SUM(D$620:D626))</f>
        <v>0</v>
      </c>
      <c r="E627" s="416">
        <f>IF(E$617&gt;$A627,$A627-$A626,E$617-SUM(E$620:E626))</f>
        <v>0</v>
      </c>
      <c r="F627" s="416">
        <f>IF(F$617&gt;$A627,$A627-$A626,F$617-SUM(F$620:F626))</f>
        <v>0</v>
      </c>
      <c r="G627" s="416">
        <f>IF(G$617&gt;$A627,$A627-$A626,G$617-SUM(G$620:G626))</f>
        <v>0</v>
      </c>
      <c r="H627" s="416">
        <f>IF(H$617&gt;$A627,$A627-$A626,H$617-SUM(H$620:H626))</f>
        <v>0</v>
      </c>
      <c r="I627" s="416">
        <f>IF(I$617&gt;$A627,$A627-$A626,I$617-SUM(I$620:I626))</f>
        <v>0</v>
      </c>
      <c r="J627" s="416">
        <f>IF(J$617&gt;$A627,$A627-$A626,J$617-SUM(J$620:J626))</f>
        <v>0</v>
      </c>
      <c r="K627" s="416">
        <f>IF(K$617&gt;$A627,$A627-$A626,K$617-SUM(K$620:K626))</f>
        <v>0</v>
      </c>
      <c r="L627" s="416">
        <f>IF(L$617&gt;$A627,$A627-$A626,L$617-SUM(L$620:L626))</f>
        <v>0</v>
      </c>
      <c r="M627" s="283"/>
      <c r="N627" s="405">
        <f t="shared" si="259"/>
        <v>0</v>
      </c>
      <c r="O627" s="95">
        <f t="shared" si="259"/>
        <v>0</v>
      </c>
      <c r="P627" s="95">
        <f t="shared" si="259"/>
        <v>0</v>
      </c>
      <c r="Q627" s="95">
        <f t="shared" si="259"/>
        <v>0</v>
      </c>
      <c r="R627" s="95">
        <f t="shared" si="259"/>
        <v>0</v>
      </c>
      <c r="S627" s="95">
        <f t="shared" si="259"/>
        <v>0</v>
      </c>
      <c r="T627" s="95">
        <f t="shared" si="259"/>
        <v>0</v>
      </c>
      <c r="U627" s="95">
        <f t="shared" si="259"/>
        <v>0</v>
      </c>
      <c r="V627" s="95">
        <f t="shared" si="259"/>
        <v>0</v>
      </c>
      <c r="W627" s="95">
        <f t="shared" si="259"/>
        <v>0</v>
      </c>
      <c r="X627" s="283"/>
    </row>
    <row r="628" spans="1:24" s="8" customFormat="1" outlineLevel="2">
      <c r="A628" s="416">
        <f>D$59</f>
        <v>9999</v>
      </c>
      <c r="B628" s="416">
        <f>B$59</f>
        <v>0.1</v>
      </c>
      <c r="C628" s="411">
        <f>IF(C$617&gt;$A628,$A628-$A627,C$617-SUM(C$620:C627))</f>
        <v>0</v>
      </c>
      <c r="D628" s="416">
        <f>IF(D$617&gt;$A628,$A628-$A627,D$617-SUM(D$620:D627))</f>
        <v>0</v>
      </c>
      <c r="E628" s="416">
        <f>IF(E$617&gt;$A628,$A628-$A627,E$617-SUM(E$620:E627))</f>
        <v>0</v>
      </c>
      <c r="F628" s="416">
        <f>IF(F$617&gt;$A628,$A628-$A627,F$617-SUM(F$620:F627))</f>
        <v>0</v>
      </c>
      <c r="G628" s="416">
        <f>IF(G$617&gt;$A628,$A628-$A627,G$617-SUM(G$620:G627))</f>
        <v>0</v>
      </c>
      <c r="H628" s="416">
        <f>IF(H$617&gt;$A628,$A628-$A627,H$617-SUM(H$620:H627))</f>
        <v>0</v>
      </c>
      <c r="I628" s="416">
        <f>IF(I$617&gt;$A628,$A628-$A627,I$617-SUM(I$620:I627))</f>
        <v>0</v>
      </c>
      <c r="J628" s="416">
        <f>IF(J$617&gt;$A628,$A628-$A627,J$617-SUM(J$620:J627))</f>
        <v>0</v>
      </c>
      <c r="K628" s="416">
        <f>IF(K$617&gt;$A628,$A628-$A627,K$617-SUM(K$620:K627))</f>
        <v>0</v>
      </c>
      <c r="L628" s="416">
        <f>IF(L$617&gt;$A628,$A628-$A627,L$617-SUM(L$620:L627))</f>
        <v>0</v>
      </c>
      <c r="M628" s="283"/>
      <c r="N628" s="405">
        <f t="shared" si="259"/>
        <v>0</v>
      </c>
      <c r="O628" s="95">
        <f t="shared" si="259"/>
        <v>0</v>
      </c>
      <c r="P628" s="95">
        <f t="shared" si="259"/>
        <v>0</v>
      </c>
      <c r="Q628" s="95">
        <f t="shared" si="259"/>
        <v>0</v>
      </c>
      <c r="R628" s="95">
        <f t="shared" si="259"/>
        <v>0</v>
      </c>
      <c r="S628" s="95">
        <f t="shared" si="259"/>
        <v>0</v>
      </c>
      <c r="T628" s="95">
        <f t="shared" si="259"/>
        <v>0</v>
      </c>
      <c r="U628" s="95">
        <f t="shared" si="259"/>
        <v>0</v>
      </c>
      <c r="V628" s="95">
        <f t="shared" si="259"/>
        <v>0</v>
      </c>
      <c r="W628" s="95">
        <f t="shared" si="259"/>
        <v>0</v>
      </c>
      <c r="X628" s="283"/>
    </row>
    <row r="629" spans="1:24" s="8" customFormat="1" outlineLevel="1">
      <c r="A629" s="404"/>
      <c r="B629" s="417" t="str">
        <f>CONCATENATE(B616," Total")</f>
        <v>Spice Total</v>
      </c>
      <c r="C629" s="418">
        <f>SUM(C620:C628)</f>
        <v>0</v>
      </c>
      <c r="D629" s="419">
        <f t="shared" ref="D629:L629" si="260">SUM(D620:D628)</f>
        <v>0</v>
      </c>
      <c r="E629" s="419">
        <f t="shared" si="260"/>
        <v>0</v>
      </c>
      <c r="F629" s="419">
        <f t="shared" si="260"/>
        <v>0</v>
      </c>
      <c r="G629" s="419">
        <f t="shared" si="260"/>
        <v>0</v>
      </c>
      <c r="H629" s="419">
        <f t="shared" si="260"/>
        <v>0</v>
      </c>
      <c r="I629" s="419">
        <f t="shared" si="260"/>
        <v>0</v>
      </c>
      <c r="J629" s="419">
        <f t="shared" si="260"/>
        <v>0</v>
      </c>
      <c r="K629" s="419">
        <f t="shared" si="260"/>
        <v>0</v>
      </c>
      <c r="L629" s="419">
        <f t="shared" si="260"/>
        <v>0</v>
      </c>
      <c r="M629" s="283"/>
      <c r="N629" s="420">
        <f>SUM(N620:N628)</f>
        <v>0</v>
      </c>
      <c r="O629" s="420">
        <f t="shared" ref="O629:W629" si="261">SUM(O620:O628)</f>
        <v>0</v>
      </c>
      <c r="P629" s="420">
        <f t="shared" si="261"/>
        <v>0</v>
      </c>
      <c r="Q629" s="420">
        <f t="shared" si="261"/>
        <v>0</v>
      </c>
      <c r="R629" s="420">
        <f t="shared" si="261"/>
        <v>0</v>
      </c>
      <c r="S629" s="420">
        <f t="shared" si="261"/>
        <v>0</v>
      </c>
      <c r="T629" s="420">
        <f t="shared" si="261"/>
        <v>0</v>
      </c>
      <c r="U629" s="420">
        <f t="shared" si="261"/>
        <v>0</v>
      </c>
      <c r="V629" s="420">
        <f t="shared" si="261"/>
        <v>0</v>
      </c>
      <c r="W629" s="420">
        <f t="shared" si="261"/>
        <v>0</v>
      </c>
      <c r="X629" s="283"/>
    </row>
    <row r="630" spans="1:24" s="8" customFormat="1" outlineLevel="1">
      <c r="B630" s="421" t="s">
        <v>778</v>
      </c>
      <c r="C630" s="422">
        <f t="shared" ref="C630:L630" si="262">C629-C617</f>
        <v>0</v>
      </c>
      <c r="D630" s="423">
        <f t="shared" si="262"/>
        <v>0</v>
      </c>
      <c r="E630" s="423">
        <f t="shared" si="262"/>
        <v>0</v>
      </c>
      <c r="F630" s="423">
        <f t="shared" si="262"/>
        <v>0</v>
      </c>
      <c r="G630" s="423">
        <f t="shared" si="262"/>
        <v>0</v>
      </c>
      <c r="H630" s="423">
        <f t="shared" si="262"/>
        <v>0</v>
      </c>
      <c r="I630" s="423">
        <f t="shared" si="262"/>
        <v>0</v>
      </c>
      <c r="J630" s="423">
        <f t="shared" si="262"/>
        <v>0</v>
      </c>
      <c r="K630" s="423">
        <f t="shared" si="262"/>
        <v>0</v>
      </c>
      <c r="L630" s="423">
        <f t="shared" si="262"/>
        <v>0</v>
      </c>
      <c r="M630" s="283"/>
      <c r="N630" s="283"/>
      <c r="O630" s="283"/>
      <c r="P630" s="283"/>
      <c r="Q630" s="283"/>
      <c r="R630" s="283"/>
      <c r="S630" s="283"/>
      <c r="T630" s="283"/>
      <c r="U630" s="283"/>
      <c r="V630" s="283"/>
      <c r="W630" s="283"/>
      <c r="X630" s="283"/>
    </row>
    <row r="631" spans="1:24" s="8" customFormat="1" outlineLevel="1">
      <c r="B631" s="283"/>
      <c r="C631" s="283"/>
      <c r="M631" s="283"/>
      <c r="X631" s="283"/>
    </row>
    <row r="632" spans="1:24" s="8" customFormat="1" outlineLevel="1" collapsed="1">
      <c r="A632" s="8">
        <f>A616+1</f>
        <v>29</v>
      </c>
      <c r="B632" s="424" t="str">
        <f>A168</f>
        <v>TCL</v>
      </c>
      <c r="C632" s="80">
        <v>2007</v>
      </c>
      <c r="D632" s="66">
        <f>C632+1</f>
        <v>2008</v>
      </c>
      <c r="E632" s="66">
        <f t="shared" ref="E632:L632" si="263">D632+1</f>
        <v>2009</v>
      </c>
      <c r="F632" s="66">
        <f t="shared" si="263"/>
        <v>2010</v>
      </c>
      <c r="G632" s="66">
        <f t="shared" si="263"/>
        <v>2011</v>
      </c>
      <c r="H632" s="66">
        <f t="shared" si="263"/>
        <v>2012</v>
      </c>
      <c r="I632" s="66">
        <f t="shared" si="263"/>
        <v>2013</v>
      </c>
      <c r="J632" s="66">
        <f t="shared" si="263"/>
        <v>2014</v>
      </c>
      <c r="K632" s="66">
        <f t="shared" si="263"/>
        <v>2015</v>
      </c>
      <c r="L632" s="66">
        <f t="shared" si="263"/>
        <v>2016</v>
      </c>
      <c r="M632" s="283"/>
      <c r="N632" s="168">
        <f t="shared" ref="N632:W632" si="264">C632</f>
        <v>2007</v>
      </c>
      <c r="O632" s="66">
        <f t="shared" si="264"/>
        <v>2008</v>
      </c>
      <c r="P632" s="66">
        <f t="shared" si="264"/>
        <v>2009</v>
      </c>
      <c r="Q632" s="66">
        <f t="shared" si="264"/>
        <v>2010</v>
      </c>
      <c r="R632" s="66">
        <f t="shared" si="264"/>
        <v>2011</v>
      </c>
      <c r="S632" s="66">
        <f t="shared" si="264"/>
        <v>2012</v>
      </c>
      <c r="T632" s="66">
        <f t="shared" si="264"/>
        <v>2013</v>
      </c>
      <c r="U632" s="66">
        <f t="shared" si="264"/>
        <v>2014</v>
      </c>
      <c r="V632" s="66">
        <f t="shared" si="264"/>
        <v>2015</v>
      </c>
      <c r="W632" s="66">
        <f t="shared" si="264"/>
        <v>2016</v>
      </c>
      <c r="X632" s="283"/>
    </row>
    <row r="633" spans="1:24" s="8" customFormat="1" outlineLevel="2">
      <c r="B633" s="8" t="s">
        <v>1348</v>
      </c>
      <c r="C633" s="411">
        <f t="shared" ref="C633:L633" si="265">VLOOKUP($B632,$A$140:$K$175,C$183+1,FALSE)</f>
        <v>11.9</v>
      </c>
      <c r="D633" s="412">
        <f t="shared" si="265"/>
        <v>13.7</v>
      </c>
      <c r="E633" s="412">
        <f t="shared" si="265"/>
        <v>16.100000000000001</v>
      </c>
      <c r="F633" s="412">
        <f t="shared" si="265"/>
        <v>36.200000000000003</v>
      </c>
      <c r="G633" s="412">
        <f t="shared" si="265"/>
        <v>43.595999999999997</v>
      </c>
      <c r="H633" s="412">
        <f t="shared" si="265"/>
        <v>41.569000000000003</v>
      </c>
      <c r="I633" s="412">
        <f t="shared" si="265"/>
        <v>52.699999999999996</v>
      </c>
      <c r="J633" s="412">
        <f t="shared" si="265"/>
        <v>70.300000000000011</v>
      </c>
      <c r="K633" s="412">
        <f t="shared" si="265"/>
        <v>74.900000000000006</v>
      </c>
      <c r="L633" s="412">
        <f t="shared" si="265"/>
        <v>67.400000000000006</v>
      </c>
      <c r="M633" s="283"/>
      <c r="N633" s="283"/>
      <c r="X633" s="283"/>
    </row>
    <row r="634" spans="1:24" s="8" customFormat="1" outlineLevel="2">
      <c r="C634" s="413"/>
      <c r="D634" s="414"/>
      <c r="E634" s="414"/>
      <c r="F634" s="414"/>
      <c r="G634" s="414"/>
      <c r="H634" s="414"/>
      <c r="I634" s="414"/>
      <c r="J634" s="414"/>
      <c r="K634" s="414"/>
      <c r="L634" s="414"/>
      <c r="M634" s="283"/>
      <c r="N634" s="283"/>
      <c r="X634" s="283"/>
    </row>
    <row r="635" spans="1:24" s="8" customFormat="1" outlineLevel="2">
      <c r="A635" s="66" t="s">
        <v>1349</v>
      </c>
      <c r="B635" s="66" t="s">
        <v>1350</v>
      </c>
      <c r="C635" s="415"/>
      <c r="F635" s="9"/>
      <c r="M635" s="283"/>
      <c r="N635" s="283"/>
      <c r="X635" s="283"/>
    </row>
    <row r="636" spans="1:24" s="8" customFormat="1" outlineLevel="2">
      <c r="A636" s="416">
        <f>D$51</f>
        <v>0.5</v>
      </c>
      <c r="B636" s="416">
        <f>B$51</f>
        <v>0.98</v>
      </c>
      <c r="C636" s="411">
        <f>IF(C$633&gt;$A636,$A636,C$633)</f>
        <v>0.5</v>
      </c>
      <c r="D636" s="416">
        <f t="shared" ref="D636:L636" si="266">IF(D$633&gt;$A636,$A636,D$633)</f>
        <v>0.5</v>
      </c>
      <c r="E636" s="416">
        <f t="shared" si="266"/>
        <v>0.5</v>
      </c>
      <c r="F636" s="416">
        <f t="shared" si="266"/>
        <v>0.5</v>
      </c>
      <c r="G636" s="416">
        <f t="shared" si="266"/>
        <v>0.5</v>
      </c>
      <c r="H636" s="416">
        <f t="shared" si="266"/>
        <v>0.5</v>
      </c>
      <c r="I636" s="416">
        <f t="shared" si="266"/>
        <v>0.5</v>
      </c>
      <c r="J636" s="416">
        <f t="shared" si="266"/>
        <v>0.5</v>
      </c>
      <c r="K636" s="416">
        <f t="shared" si="266"/>
        <v>0.5</v>
      </c>
      <c r="L636" s="416">
        <f t="shared" si="266"/>
        <v>0.5</v>
      </c>
      <c r="M636" s="283"/>
      <c r="N636" s="405">
        <f t="shared" ref="N636:W644" si="267">C636*$B636</f>
        <v>0.49</v>
      </c>
      <c r="O636" s="95">
        <f t="shared" si="267"/>
        <v>0.49</v>
      </c>
      <c r="P636" s="95">
        <f t="shared" si="267"/>
        <v>0.49</v>
      </c>
      <c r="Q636" s="95">
        <f t="shared" si="267"/>
        <v>0.49</v>
      </c>
      <c r="R636" s="95">
        <f t="shared" si="267"/>
        <v>0.49</v>
      </c>
      <c r="S636" s="95">
        <f t="shared" si="267"/>
        <v>0.49</v>
      </c>
      <c r="T636" s="95">
        <f t="shared" si="267"/>
        <v>0.49</v>
      </c>
      <c r="U636" s="95">
        <f t="shared" si="267"/>
        <v>0.49</v>
      </c>
      <c r="V636" s="95">
        <f t="shared" si="267"/>
        <v>0.49</v>
      </c>
      <c r="W636" s="95">
        <f t="shared" si="267"/>
        <v>0.49</v>
      </c>
      <c r="X636" s="283"/>
    </row>
    <row r="637" spans="1:24" s="8" customFormat="1" outlineLevel="2">
      <c r="A637" s="416">
        <f>D$52</f>
        <v>1</v>
      </c>
      <c r="B637" s="416">
        <f>B$52</f>
        <v>0.78</v>
      </c>
      <c r="C637" s="411">
        <f>IF(C$633&gt;$A637,$A637-$A636,C$633-SUM(C636:C$636))</f>
        <v>0.5</v>
      </c>
      <c r="D637" s="416">
        <f>IF(D$633&gt;$A637,$A637-$A636,D$633-SUM(D636:D$636))</f>
        <v>0.5</v>
      </c>
      <c r="E637" s="416">
        <f>IF(E$633&gt;$A637,$A637-$A636,E$633-SUM(E636:E$636))</f>
        <v>0.5</v>
      </c>
      <c r="F637" s="416">
        <f>IF(F$633&gt;$A637,$A637-$A636,F$633-SUM(F636:F$636))</f>
        <v>0.5</v>
      </c>
      <c r="G637" s="416">
        <f>IF(G$633&gt;$A637,$A637-$A636,G$633-SUM(G636:G$636))</f>
        <v>0.5</v>
      </c>
      <c r="H637" s="416">
        <f>IF(H$633&gt;$A637,$A637-$A636,H$633-SUM(H636:H$636))</f>
        <v>0.5</v>
      </c>
      <c r="I637" s="416">
        <f>IF(I$633&gt;$A637,$A637-$A636,I$633-SUM(I636:I$636))</f>
        <v>0.5</v>
      </c>
      <c r="J637" s="416">
        <f>IF(J$633&gt;$A637,$A637-$A636,J$633-SUM(J636:J$636))</f>
        <v>0.5</v>
      </c>
      <c r="K637" s="416">
        <f>IF(K$633&gt;$A637,$A637-$A636,K$633-SUM(K636:K$636))</f>
        <v>0.5</v>
      </c>
      <c r="L637" s="416">
        <f>IF(L$633&gt;$A637,$A637-$A636,L$633-SUM(L636:L$636))</f>
        <v>0.5</v>
      </c>
      <c r="M637" s="283"/>
      <c r="N637" s="405">
        <f t="shared" si="267"/>
        <v>0.39</v>
      </c>
      <c r="O637" s="95">
        <f t="shared" si="267"/>
        <v>0.39</v>
      </c>
      <c r="P637" s="95">
        <f t="shared" si="267"/>
        <v>0.39</v>
      </c>
      <c r="Q637" s="95">
        <f t="shared" si="267"/>
        <v>0.39</v>
      </c>
      <c r="R637" s="95">
        <f t="shared" si="267"/>
        <v>0.39</v>
      </c>
      <c r="S637" s="95">
        <f t="shared" si="267"/>
        <v>0.39</v>
      </c>
      <c r="T637" s="95">
        <f t="shared" si="267"/>
        <v>0.39</v>
      </c>
      <c r="U637" s="95">
        <f t="shared" si="267"/>
        <v>0.39</v>
      </c>
      <c r="V637" s="95">
        <f t="shared" si="267"/>
        <v>0.39</v>
      </c>
      <c r="W637" s="95">
        <f t="shared" si="267"/>
        <v>0.39</v>
      </c>
      <c r="X637" s="283"/>
    </row>
    <row r="638" spans="1:24" s="8" customFormat="1" outlineLevel="2">
      <c r="A638" s="416">
        <f>D$53</f>
        <v>2</v>
      </c>
      <c r="B638" s="416">
        <f>B$53</f>
        <v>0.68</v>
      </c>
      <c r="C638" s="411">
        <f>IF(C$633&gt;$A638,$A638-$A637,C$633-SUM(C$636:C637))</f>
        <v>1</v>
      </c>
      <c r="D638" s="416">
        <f>IF(D$633&gt;$A638,$A638-$A637,D$633-SUM(D$636:D637))</f>
        <v>1</v>
      </c>
      <c r="E638" s="416">
        <f>IF(E$633&gt;$A638,$A638-$A637,E$633-SUM(E$636:E637))</f>
        <v>1</v>
      </c>
      <c r="F638" s="416">
        <f>IF(F$633&gt;$A638,$A638-$A637,F$633-SUM(F$636:F637))</f>
        <v>1</v>
      </c>
      <c r="G638" s="416">
        <f>IF(G$633&gt;$A638,$A638-$A637,G$633-SUM(G$636:G637))</f>
        <v>1</v>
      </c>
      <c r="H638" s="416">
        <f>IF(H$633&gt;$A638,$A638-$A637,H$633-SUM(H$636:H637))</f>
        <v>1</v>
      </c>
      <c r="I638" s="416">
        <f>IF(I$633&gt;$A638,$A638-$A637,I$633-SUM(I$636:I637))</f>
        <v>1</v>
      </c>
      <c r="J638" s="416">
        <f>IF(J$633&gt;$A638,$A638-$A637,J$633-SUM(J$636:J637))</f>
        <v>1</v>
      </c>
      <c r="K638" s="416">
        <f>IF(K$633&gt;$A638,$A638-$A637,K$633-SUM(K$636:K637))</f>
        <v>1</v>
      </c>
      <c r="L638" s="416">
        <f>IF(L$633&gt;$A638,$A638-$A637,L$633-SUM(L$636:L637))</f>
        <v>1</v>
      </c>
      <c r="M638" s="283"/>
      <c r="N638" s="405">
        <f t="shared" si="267"/>
        <v>0.68</v>
      </c>
      <c r="O638" s="95">
        <f t="shared" si="267"/>
        <v>0.68</v>
      </c>
      <c r="P638" s="95">
        <f t="shared" si="267"/>
        <v>0.68</v>
      </c>
      <c r="Q638" s="95">
        <f t="shared" si="267"/>
        <v>0.68</v>
      </c>
      <c r="R638" s="95">
        <f t="shared" si="267"/>
        <v>0.68</v>
      </c>
      <c r="S638" s="95">
        <f t="shared" si="267"/>
        <v>0.68</v>
      </c>
      <c r="T638" s="95">
        <f t="shared" si="267"/>
        <v>0.68</v>
      </c>
      <c r="U638" s="95">
        <f t="shared" si="267"/>
        <v>0.68</v>
      </c>
      <c r="V638" s="95">
        <f t="shared" si="267"/>
        <v>0.68</v>
      </c>
      <c r="W638" s="95">
        <f t="shared" si="267"/>
        <v>0.68</v>
      </c>
      <c r="X638" s="283"/>
    </row>
    <row r="639" spans="1:24" s="8" customFormat="1" outlineLevel="2">
      <c r="A639" s="416">
        <f>D$54</f>
        <v>5</v>
      </c>
      <c r="B639" s="416">
        <f>B$54</f>
        <v>0.45</v>
      </c>
      <c r="C639" s="411">
        <f>IF(C$633&gt;$A639,$A639-$A638,C$633-SUM(C$636:C638))</f>
        <v>3</v>
      </c>
      <c r="D639" s="416">
        <f>IF(D$633&gt;$A639,$A639-$A638,D$633-SUM(D$636:D638))</f>
        <v>3</v>
      </c>
      <c r="E639" s="416">
        <f>IF(E$633&gt;$A639,$A639-$A638,E$633-SUM(E$636:E638))</f>
        <v>3</v>
      </c>
      <c r="F639" s="416">
        <f>IF(F$633&gt;$A639,$A639-$A638,F$633-SUM(F$636:F638))</f>
        <v>3</v>
      </c>
      <c r="G639" s="416">
        <f>IF(G$633&gt;$A639,$A639-$A638,G$633-SUM(G$636:G638))</f>
        <v>3</v>
      </c>
      <c r="H639" s="416">
        <f>IF(H$633&gt;$A639,$A639-$A638,H$633-SUM(H$636:H638))</f>
        <v>3</v>
      </c>
      <c r="I639" s="416">
        <f>IF(I$633&gt;$A639,$A639-$A638,I$633-SUM(I$636:I638))</f>
        <v>3</v>
      </c>
      <c r="J639" s="416">
        <f>IF(J$633&gt;$A639,$A639-$A638,J$633-SUM(J$636:J638))</f>
        <v>3</v>
      </c>
      <c r="K639" s="416">
        <f>IF(K$633&gt;$A639,$A639-$A638,K$633-SUM(K$636:K638))</f>
        <v>3</v>
      </c>
      <c r="L639" s="416">
        <f>IF(L$633&gt;$A639,$A639-$A638,L$633-SUM(L$636:L638))</f>
        <v>3</v>
      </c>
      <c r="M639" s="283"/>
      <c r="N639" s="405">
        <f t="shared" si="267"/>
        <v>1.35</v>
      </c>
      <c r="O639" s="95">
        <f t="shared" si="267"/>
        <v>1.35</v>
      </c>
      <c r="P639" s="95">
        <f t="shared" si="267"/>
        <v>1.35</v>
      </c>
      <c r="Q639" s="95">
        <f t="shared" si="267"/>
        <v>1.35</v>
      </c>
      <c r="R639" s="95">
        <f t="shared" si="267"/>
        <v>1.35</v>
      </c>
      <c r="S639" s="95">
        <f t="shared" si="267"/>
        <v>1.35</v>
      </c>
      <c r="T639" s="95">
        <f t="shared" si="267"/>
        <v>1.35</v>
      </c>
      <c r="U639" s="95">
        <f t="shared" si="267"/>
        <v>1.35</v>
      </c>
      <c r="V639" s="95">
        <f t="shared" si="267"/>
        <v>1.35</v>
      </c>
      <c r="W639" s="95">
        <f t="shared" si="267"/>
        <v>1.35</v>
      </c>
      <c r="X639" s="283"/>
    </row>
    <row r="640" spans="1:24" s="8" customFormat="1" outlineLevel="2">
      <c r="A640" s="416">
        <f>D$55</f>
        <v>10</v>
      </c>
      <c r="B640" s="416">
        <f>B$55</f>
        <v>0.42</v>
      </c>
      <c r="C640" s="411">
        <f>IF(C$633&gt;$A640,$A640-$A639,C$633-SUM(C$636:C639))</f>
        <v>5</v>
      </c>
      <c r="D640" s="416">
        <f>IF(D$633&gt;$A640,$A640-$A639,D$633-SUM(D$636:D639))</f>
        <v>5</v>
      </c>
      <c r="E640" s="416">
        <f>IF(E$633&gt;$A640,$A640-$A639,E$633-SUM(E$636:E639))</f>
        <v>5</v>
      </c>
      <c r="F640" s="416">
        <f>IF(F$633&gt;$A640,$A640-$A639,F$633-SUM(F$636:F639))</f>
        <v>5</v>
      </c>
      <c r="G640" s="416">
        <f>IF(G$633&gt;$A640,$A640-$A639,G$633-SUM(G$636:G639))</f>
        <v>5</v>
      </c>
      <c r="H640" s="416">
        <f>IF(H$633&gt;$A640,$A640-$A639,H$633-SUM(H$636:H639))</f>
        <v>5</v>
      </c>
      <c r="I640" s="416">
        <f>IF(I$633&gt;$A640,$A640-$A639,I$633-SUM(I$636:I639))</f>
        <v>5</v>
      </c>
      <c r="J640" s="416">
        <f>IF(J$633&gt;$A640,$A640-$A639,J$633-SUM(J$636:J639))</f>
        <v>5</v>
      </c>
      <c r="K640" s="416">
        <f>IF(K$633&gt;$A640,$A640-$A639,K$633-SUM(K$636:K639))</f>
        <v>5</v>
      </c>
      <c r="L640" s="416">
        <f>IF(L$633&gt;$A640,$A640-$A639,L$633-SUM(L$636:L639))</f>
        <v>5</v>
      </c>
      <c r="M640" s="283"/>
      <c r="N640" s="405">
        <f t="shared" si="267"/>
        <v>2.1</v>
      </c>
      <c r="O640" s="95">
        <f t="shared" si="267"/>
        <v>2.1</v>
      </c>
      <c r="P640" s="95">
        <f t="shared" si="267"/>
        <v>2.1</v>
      </c>
      <c r="Q640" s="95">
        <f t="shared" si="267"/>
        <v>2.1</v>
      </c>
      <c r="R640" s="95">
        <f t="shared" si="267"/>
        <v>2.1</v>
      </c>
      <c r="S640" s="95">
        <f t="shared" si="267"/>
        <v>2.1</v>
      </c>
      <c r="T640" s="95">
        <f t="shared" si="267"/>
        <v>2.1</v>
      </c>
      <c r="U640" s="95">
        <f t="shared" si="267"/>
        <v>2.1</v>
      </c>
      <c r="V640" s="95">
        <f t="shared" si="267"/>
        <v>2.1</v>
      </c>
      <c r="W640" s="95">
        <f t="shared" si="267"/>
        <v>2.1</v>
      </c>
      <c r="X640" s="283"/>
    </row>
    <row r="641" spans="1:24" s="8" customFormat="1" outlineLevel="2">
      <c r="A641" s="416">
        <f>D$56</f>
        <v>20</v>
      </c>
      <c r="B641" s="416">
        <f>B$56</f>
        <v>0.22</v>
      </c>
      <c r="C641" s="411">
        <f>IF(C$633&gt;$A641,$A641-$A640,C$633-SUM(C$636:C640))</f>
        <v>1.9000000000000004</v>
      </c>
      <c r="D641" s="416">
        <f>IF(D$633&gt;$A641,$A641-$A640,D$633-SUM(D$636:D640))</f>
        <v>3.6999999999999993</v>
      </c>
      <c r="E641" s="416">
        <f>IF(E$633&gt;$A641,$A641-$A640,E$633-SUM(E$636:E640))</f>
        <v>6.1000000000000014</v>
      </c>
      <c r="F641" s="416">
        <f>IF(F$633&gt;$A641,$A641-$A640,F$633-SUM(F$636:F640))</f>
        <v>10</v>
      </c>
      <c r="G641" s="416">
        <f>IF(G$633&gt;$A641,$A641-$A640,G$633-SUM(G$636:G640))</f>
        <v>10</v>
      </c>
      <c r="H641" s="416">
        <f>IF(H$633&gt;$A641,$A641-$A640,H$633-SUM(H$636:H640))</f>
        <v>10</v>
      </c>
      <c r="I641" s="416">
        <f>IF(I$633&gt;$A641,$A641-$A640,I$633-SUM(I$636:I640))</f>
        <v>10</v>
      </c>
      <c r="J641" s="416">
        <f>IF(J$633&gt;$A641,$A641-$A640,J$633-SUM(J$636:J640))</f>
        <v>10</v>
      </c>
      <c r="K641" s="416">
        <f>IF(K$633&gt;$A641,$A641-$A640,K$633-SUM(K$636:K640))</f>
        <v>10</v>
      </c>
      <c r="L641" s="416">
        <f>IF(L$633&gt;$A641,$A641-$A640,L$633-SUM(L$636:L640))</f>
        <v>10</v>
      </c>
      <c r="M641" s="283"/>
      <c r="N641" s="405">
        <f t="shared" si="267"/>
        <v>0.41800000000000009</v>
      </c>
      <c r="O641" s="95">
        <f t="shared" si="267"/>
        <v>0.81399999999999983</v>
      </c>
      <c r="P641" s="95">
        <f t="shared" si="267"/>
        <v>1.3420000000000003</v>
      </c>
      <c r="Q641" s="95">
        <f t="shared" si="267"/>
        <v>2.2000000000000002</v>
      </c>
      <c r="R641" s="95">
        <f t="shared" si="267"/>
        <v>2.2000000000000002</v>
      </c>
      <c r="S641" s="95">
        <f t="shared" si="267"/>
        <v>2.2000000000000002</v>
      </c>
      <c r="T641" s="95">
        <f t="shared" si="267"/>
        <v>2.2000000000000002</v>
      </c>
      <c r="U641" s="95">
        <f t="shared" si="267"/>
        <v>2.2000000000000002</v>
      </c>
      <c r="V641" s="95">
        <f t="shared" si="267"/>
        <v>2.2000000000000002</v>
      </c>
      <c r="W641" s="95">
        <f t="shared" si="267"/>
        <v>2.2000000000000002</v>
      </c>
      <c r="X641" s="283"/>
    </row>
    <row r="642" spans="1:24" s="8" customFormat="1" outlineLevel="2">
      <c r="A642" s="416">
        <f>D$57</f>
        <v>50</v>
      </c>
      <c r="B642" s="416">
        <f>B$57</f>
        <v>0.2</v>
      </c>
      <c r="C642" s="411">
        <f>IF(C$633&gt;$A642,$A642-$A641,C$633-SUM(C$636:C641))</f>
        <v>0</v>
      </c>
      <c r="D642" s="416">
        <f>IF(D$633&gt;$A642,$A642-$A641,D$633-SUM(D$636:D641))</f>
        <v>0</v>
      </c>
      <c r="E642" s="416">
        <f>IF(E$633&gt;$A642,$A642-$A641,E$633-SUM(E$636:E641))</f>
        <v>0</v>
      </c>
      <c r="F642" s="416">
        <f>IF(F$633&gt;$A642,$A642-$A641,F$633-SUM(F$636:F641))</f>
        <v>16.200000000000003</v>
      </c>
      <c r="G642" s="416">
        <f>IF(G$633&gt;$A642,$A642-$A641,G$633-SUM(G$636:G641))</f>
        <v>23.595999999999997</v>
      </c>
      <c r="H642" s="416">
        <f>IF(H$633&gt;$A642,$A642-$A641,H$633-SUM(H$636:H641))</f>
        <v>21.569000000000003</v>
      </c>
      <c r="I642" s="416">
        <f>IF(I$633&gt;$A642,$A642-$A641,I$633-SUM(I$636:I641))</f>
        <v>30</v>
      </c>
      <c r="J642" s="416">
        <f>IF(J$633&gt;$A642,$A642-$A641,J$633-SUM(J$636:J641))</f>
        <v>30</v>
      </c>
      <c r="K642" s="416">
        <f>IF(K$633&gt;$A642,$A642-$A641,K$633-SUM(K$636:K641))</f>
        <v>30</v>
      </c>
      <c r="L642" s="416">
        <f>IF(L$633&gt;$A642,$A642-$A641,L$633-SUM(L$636:L641))</f>
        <v>30</v>
      </c>
      <c r="M642" s="283"/>
      <c r="N642" s="405">
        <f t="shared" si="267"/>
        <v>0</v>
      </c>
      <c r="O642" s="95">
        <f t="shared" si="267"/>
        <v>0</v>
      </c>
      <c r="P642" s="95">
        <f t="shared" si="267"/>
        <v>0</v>
      </c>
      <c r="Q642" s="95">
        <f t="shared" si="267"/>
        <v>3.2400000000000007</v>
      </c>
      <c r="R642" s="95">
        <f t="shared" si="267"/>
        <v>4.7191999999999998</v>
      </c>
      <c r="S642" s="95">
        <f t="shared" si="267"/>
        <v>4.3138000000000005</v>
      </c>
      <c r="T642" s="95">
        <f t="shared" si="267"/>
        <v>6</v>
      </c>
      <c r="U642" s="95">
        <f t="shared" si="267"/>
        <v>6</v>
      </c>
      <c r="V642" s="95">
        <f t="shared" si="267"/>
        <v>6</v>
      </c>
      <c r="W642" s="95">
        <f t="shared" si="267"/>
        <v>6</v>
      </c>
      <c r="X642" s="283"/>
    </row>
    <row r="643" spans="1:24" s="8" customFormat="1" outlineLevel="2">
      <c r="A643" s="416">
        <f>D$58</f>
        <v>75</v>
      </c>
      <c r="B643" s="416">
        <f>B$58</f>
        <v>0.15</v>
      </c>
      <c r="C643" s="411">
        <f>IF(C$633&gt;$A643,$A643-$A642,C$633-SUM(C$636:C642))</f>
        <v>0</v>
      </c>
      <c r="D643" s="416">
        <f>IF(D$633&gt;$A643,$A643-$A642,D$633-SUM(D$636:D642))</f>
        <v>0</v>
      </c>
      <c r="E643" s="416">
        <f>IF(E$633&gt;$A643,$A643-$A642,E$633-SUM(E$636:E642))</f>
        <v>0</v>
      </c>
      <c r="F643" s="416">
        <f>IF(F$633&gt;$A643,$A643-$A642,F$633-SUM(F$636:F642))</f>
        <v>0</v>
      </c>
      <c r="G643" s="416">
        <f>IF(G$633&gt;$A643,$A643-$A642,G$633-SUM(G$636:G642))</f>
        <v>0</v>
      </c>
      <c r="H643" s="416">
        <f>IF(H$633&gt;$A643,$A643-$A642,H$633-SUM(H$636:H642))</f>
        <v>0</v>
      </c>
      <c r="I643" s="416">
        <f>IF(I$633&gt;$A643,$A643-$A642,I$633-SUM(I$636:I642))</f>
        <v>2.6999999999999957</v>
      </c>
      <c r="J643" s="416">
        <f>IF(J$633&gt;$A643,$A643-$A642,J$633-SUM(J$636:J642))</f>
        <v>20.300000000000011</v>
      </c>
      <c r="K643" s="416">
        <f>IF(K$633&gt;$A643,$A643-$A642,K$633-SUM(K$636:K642))</f>
        <v>24.900000000000006</v>
      </c>
      <c r="L643" s="416">
        <f>IF(L$633&gt;$A643,$A643-$A642,L$633-SUM(L$636:L642))</f>
        <v>17.400000000000006</v>
      </c>
      <c r="M643" s="283"/>
      <c r="N643" s="405">
        <f t="shared" si="267"/>
        <v>0</v>
      </c>
      <c r="O643" s="95">
        <f t="shared" si="267"/>
        <v>0</v>
      </c>
      <c r="P643" s="95">
        <f t="shared" si="267"/>
        <v>0</v>
      </c>
      <c r="Q643" s="95">
        <f t="shared" si="267"/>
        <v>0</v>
      </c>
      <c r="R643" s="95">
        <f t="shared" si="267"/>
        <v>0</v>
      </c>
      <c r="S643" s="95">
        <f t="shared" si="267"/>
        <v>0</v>
      </c>
      <c r="T643" s="95">
        <f t="shared" si="267"/>
        <v>0.40499999999999936</v>
      </c>
      <c r="U643" s="95">
        <f t="shared" si="267"/>
        <v>3.0450000000000017</v>
      </c>
      <c r="V643" s="95">
        <f t="shared" si="267"/>
        <v>3.7350000000000008</v>
      </c>
      <c r="W643" s="95">
        <f t="shared" si="267"/>
        <v>2.6100000000000008</v>
      </c>
      <c r="X643" s="283"/>
    </row>
    <row r="644" spans="1:24" s="8" customFormat="1" outlineLevel="2">
      <c r="A644" s="416">
        <f>D$59</f>
        <v>9999</v>
      </c>
      <c r="B644" s="416">
        <f>B$59</f>
        <v>0.1</v>
      </c>
      <c r="C644" s="411">
        <f>IF(C$633&gt;$A644,$A644-$A643,C$633-SUM(C$636:C643))</f>
        <v>0</v>
      </c>
      <c r="D644" s="416">
        <f>IF(D$633&gt;$A644,$A644-$A643,D$633-SUM(D$636:D643))</f>
        <v>0</v>
      </c>
      <c r="E644" s="416">
        <f>IF(E$633&gt;$A644,$A644-$A643,E$633-SUM(E$636:E643))</f>
        <v>0</v>
      </c>
      <c r="F644" s="416">
        <f>IF(F$633&gt;$A644,$A644-$A643,F$633-SUM(F$636:F643))</f>
        <v>0</v>
      </c>
      <c r="G644" s="416">
        <f>IF(G$633&gt;$A644,$A644-$A643,G$633-SUM(G$636:G643))</f>
        <v>0</v>
      </c>
      <c r="H644" s="416">
        <f>IF(H$633&gt;$A644,$A644-$A643,H$633-SUM(H$636:H643))</f>
        <v>0</v>
      </c>
      <c r="I644" s="416">
        <f>IF(I$633&gt;$A644,$A644-$A643,I$633-SUM(I$636:I643))</f>
        <v>0</v>
      </c>
      <c r="J644" s="416">
        <f>IF(J$633&gt;$A644,$A644-$A643,J$633-SUM(J$636:J643))</f>
        <v>0</v>
      </c>
      <c r="K644" s="416">
        <f>IF(K$633&gt;$A644,$A644-$A643,K$633-SUM(K$636:K643))</f>
        <v>0</v>
      </c>
      <c r="L644" s="416">
        <f>IF(L$633&gt;$A644,$A644-$A643,L$633-SUM(L$636:L643))</f>
        <v>0</v>
      </c>
      <c r="M644" s="283"/>
      <c r="N644" s="405">
        <f t="shared" si="267"/>
        <v>0</v>
      </c>
      <c r="O644" s="95">
        <f t="shared" si="267"/>
        <v>0</v>
      </c>
      <c r="P644" s="95">
        <f t="shared" si="267"/>
        <v>0</v>
      </c>
      <c r="Q644" s="95">
        <f t="shared" si="267"/>
        <v>0</v>
      </c>
      <c r="R644" s="95">
        <f t="shared" si="267"/>
        <v>0</v>
      </c>
      <c r="S644" s="95">
        <f t="shared" si="267"/>
        <v>0</v>
      </c>
      <c r="T644" s="95">
        <f t="shared" si="267"/>
        <v>0</v>
      </c>
      <c r="U644" s="95">
        <f t="shared" si="267"/>
        <v>0</v>
      </c>
      <c r="V644" s="95">
        <f t="shared" si="267"/>
        <v>0</v>
      </c>
      <c r="W644" s="95">
        <f t="shared" si="267"/>
        <v>0</v>
      </c>
      <c r="X644" s="283"/>
    </row>
    <row r="645" spans="1:24" s="8" customFormat="1" outlineLevel="1">
      <c r="A645" s="404"/>
      <c r="B645" s="417" t="str">
        <f>CONCATENATE(B632," Total")</f>
        <v>TCL Total</v>
      </c>
      <c r="C645" s="418">
        <f>SUM(C636:C644)</f>
        <v>11.9</v>
      </c>
      <c r="D645" s="419">
        <f t="shared" ref="D645:L645" si="268">SUM(D636:D644)</f>
        <v>13.7</v>
      </c>
      <c r="E645" s="419">
        <f t="shared" si="268"/>
        <v>16.100000000000001</v>
      </c>
      <c r="F645" s="419">
        <f t="shared" si="268"/>
        <v>36.200000000000003</v>
      </c>
      <c r="G645" s="419">
        <f t="shared" si="268"/>
        <v>43.595999999999997</v>
      </c>
      <c r="H645" s="419">
        <f t="shared" si="268"/>
        <v>41.569000000000003</v>
      </c>
      <c r="I645" s="419">
        <f t="shared" si="268"/>
        <v>52.699999999999996</v>
      </c>
      <c r="J645" s="419">
        <f t="shared" si="268"/>
        <v>70.300000000000011</v>
      </c>
      <c r="K645" s="419">
        <f t="shared" si="268"/>
        <v>74.900000000000006</v>
      </c>
      <c r="L645" s="419">
        <f t="shared" si="268"/>
        <v>67.400000000000006</v>
      </c>
      <c r="M645" s="283"/>
      <c r="N645" s="420">
        <f>SUM(N636:N644)</f>
        <v>5.4279999999999999</v>
      </c>
      <c r="O645" s="420">
        <f t="shared" ref="O645:W645" si="269">SUM(O636:O644)</f>
        <v>5.8239999999999998</v>
      </c>
      <c r="P645" s="420">
        <f t="shared" si="269"/>
        <v>6.3520000000000003</v>
      </c>
      <c r="Q645" s="420">
        <f t="shared" si="269"/>
        <v>10.450000000000001</v>
      </c>
      <c r="R645" s="420">
        <f t="shared" si="269"/>
        <v>11.9292</v>
      </c>
      <c r="S645" s="420">
        <f t="shared" si="269"/>
        <v>11.523800000000001</v>
      </c>
      <c r="T645" s="420">
        <f t="shared" si="269"/>
        <v>13.615</v>
      </c>
      <c r="U645" s="420">
        <f t="shared" si="269"/>
        <v>16.255000000000003</v>
      </c>
      <c r="V645" s="420">
        <f t="shared" si="269"/>
        <v>16.945</v>
      </c>
      <c r="W645" s="420">
        <f t="shared" si="269"/>
        <v>15.820000000000002</v>
      </c>
      <c r="X645" s="283"/>
    </row>
    <row r="646" spans="1:24" s="8" customFormat="1" outlineLevel="1">
      <c r="B646" s="421" t="s">
        <v>778</v>
      </c>
      <c r="C646" s="422">
        <f t="shared" ref="C646:L646" si="270">C645-C633</f>
        <v>0</v>
      </c>
      <c r="D646" s="423">
        <f t="shared" si="270"/>
        <v>0</v>
      </c>
      <c r="E646" s="423">
        <f t="shared" si="270"/>
        <v>0</v>
      </c>
      <c r="F646" s="423">
        <f t="shared" si="270"/>
        <v>0</v>
      </c>
      <c r="G646" s="423">
        <f t="shared" si="270"/>
        <v>0</v>
      </c>
      <c r="H646" s="423">
        <f t="shared" si="270"/>
        <v>0</v>
      </c>
      <c r="I646" s="423">
        <f t="shared" si="270"/>
        <v>0</v>
      </c>
      <c r="J646" s="423">
        <f t="shared" si="270"/>
        <v>0</v>
      </c>
      <c r="K646" s="423">
        <f t="shared" si="270"/>
        <v>0</v>
      </c>
      <c r="L646" s="423">
        <f t="shared" si="270"/>
        <v>0</v>
      </c>
      <c r="M646" s="283"/>
      <c r="N646" s="283"/>
      <c r="O646" s="283"/>
      <c r="P646" s="283"/>
      <c r="Q646" s="283"/>
      <c r="R646" s="283"/>
      <c r="S646" s="283"/>
      <c r="T646" s="283"/>
      <c r="U646" s="283"/>
      <c r="V646" s="283"/>
      <c r="W646" s="283"/>
      <c r="X646" s="283"/>
    </row>
    <row r="647" spans="1:24" s="8" customFormat="1" outlineLevel="1">
      <c r="C647" s="283"/>
      <c r="M647" s="283"/>
      <c r="X647" s="283"/>
    </row>
    <row r="648" spans="1:24" s="8" customFormat="1" outlineLevel="1" collapsed="1">
      <c r="A648" s="8">
        <f>A632+1</f>
        <v>30</v>
      </c>
      <c r="B648" s="424" t="str">
        <f>A169</f>
        <v>Toshiba</v>
      </c>
      <c r="C648" s="80">
        <v>2007</v>
      </c>
      <c r="D648" s="66">
        <f>C648+1</f>
        <v>2008</v>
      </c>
      <c r="E648" s="66">
        <f t="shared" ref="E648:L648" si="271">D648+1</f>
        <v>2009</v>
      </c>
      <c r="F648" s="66">
        <f t="shared" si="271"/>
        <v>2010</v>
      </c>
      <c r="G648" s="66">
        <f t="shared" si="271"/>
        <v>2011</v>
      </c>
      <c r="H648" s="66">
        <f t="shared" si="271"/>
        <v>2012</v>
      </c>
      <c r="I648" s="66">
        <f t="shared" si="271"/>
        <v>2013</v>
      </c>
      <c r="J648" s="66">
        <f t="shared" si="271"/>
        <v>2014</v>
      </c>
      <c r="K648" s="66">
        <f t="shared" si="271"/>
        <v>2015</v>
      </c>
      <c r="L648" s="66">
        <f t="shared" si="271"/>
        <v>2016</v>
      </c>
      <c r="M648" s="283"/>
      <c r="N648" s="168">
        <f t="shared" ref="N648:W648" si="272">C648</f>
        <v>2007</v>
      </c>
      <c r="O648" s="66">
        <f t="shared" si="272"/>
        <v>2008</v>
      </c>
      <c r="P648" s="66">
        <f t="shared" si="272"/>
        <v>2009</v>
      </c>
      <c r="Q648" s="66">
        <f t="shared" si="272"/>
        <v>2010</v>
      </c>
      <c r="R648" s="66">
        <f t="shared" si="272"/>
        <v>2011</v>
      </c>
      <c r="S648" s="66">
        <f t="shared" si="272"/>
        <v>2012</v>
      </c>
      <c r="T648" s="66">
        <f t="shared" si="272"/>
        <v>2013</v>
      </c>
      <c r="U648" s="66">
        <f t="shared" si="272"/>
        <v>2014</v>
      </c>
      <c r="V648" s="66">
        <f t="shared" si="272"/>
        <v>2015</v>
      </c>
      <c r="W648" s="66">
        <f t="shared" si="272"/>
        <v>2016</v>
      </c>
      <c r="X648" s="283"/>
    </row>
    <row r="649" spans="1:24" s="8" customFormat="1" outlineLevel="2">
      <c r="B649" s="8" t="s">
        <v>1348</v>
      </c>
      <c r="C649" s="411">
        <f t="shared" ref="C649:L649" si="273">VLOOKUP($B648,$A$140:$K$175,C$183+1,FALSE)</f>
        <v>3.4000000000000004</v>
      </c>
      <c r="D649" s="412">
        <f t="shared" si="273"/>
        <v>2.4</v>
      </c>
      <c r="E649" s="412">
        <f t="shared" si="273"/>
        <v>2</v>
      </c>
      <c r="F649" s="412">
        <f t="shared" si="273"/>
        <v>1.3</v>
      </c>
      <c r="G649" s="412">
        <f t="shared" si="273"/>
        <v>0</v>
      </c>
      <c r="H649" s="412">
        <f t="shared" si="273"/>
        <v>0</v>
      </c>
      <c r="I649" s="412">
        <f t="shared" si="273"/>
        <v>0</v>
      </c>
      <c r="J649" s="412">
        <f t="shared" si="273"/>
        <v>0</v>
      </c>
      <c r="K649" s="412">
        <f t="shared" si="273"/>
        <v>0</v>
      </c>
      <c r="L649" s="412">
        <f t="shared" si="273"/>
        <v>0</v>
      </c>
      <c r="M649" s="283"/>
      <c r="N649" s="283"/>
      <c r="X649" s="283"/>
    </row>
    <row r="650" spans="1:24" s="8" customFormat="1" outlineLevel="2">
      <c r="C650" s="413"/>
      <c r="D650" s="414"/>
      <c r="E650" s="414"/>
      <c r="F650" s="414"/>
      <c r="G650" s="414"/>
      <c r="H650" s="414"/>
      <c r="I650" s="414"/>
      <c r="J650" s="414"/>
      <c r="K650" s="414"/>
      <c r="L650" s="414"/>
      <c r="M650" s="283"/>
      <c r="N650" s="283"/>
      <c r="X650" s="283"/>
    </row>
    <row r="651" spans="1:24" s="8" customFormat="1" outlineLevel="2">
      <c r="A651" s="66" t="s">
        <v>1349</v>
      </c>
      <c r="B651" s="66" t="s">
        <v>1350</v>
      </c>
      <c r="C651" s="415"/>
      <c r="F651" s="9"/>
      <c r="M651" s="283"/>
      <c r="N651" s="283"/>
      <c r="X651" s="283"/>
    </row>
    <row r="652" spans="1:24" s="8" customFormat="1" outlineLevel="2">
      <c r="A652" s="416">
        <f>D$51</f>
        <v>0.5</v>
      </c>
      <c r="B652" s="416">
        <f>B$51</f>
        <v>0.98</v>
      </c>
      <c r="C652" s="411">
        <f>IF(C$649&gt;$A652,$A652,C$649)</f>
        <v>0.5</v>
      </c>
      <c r="D652" s="416">
        <f t="shared" ref="D652:L652" si="274">IF(D$649&gt;$A652,$A652,D$649)</f>
        <v>0.5</v>
      </c>
      <c r="E652" s="416">
        <f t="shared" si="274"/>
        <v>0.5</v>
      </c>
      <c r="F652" s="416">
        <f t="shared" si="274"/>
        <v>0.5</v>
      </c>
      <c r="G652" s="416">
        <f t="shared" si="274"/>
        <v>0</v>
      </c>
      <c r="H652" s="416">
        <f t="shared" si="274"/>
        <v>0</v>
      </c>
      <c r="I652" s="416">
        <f t="shared" si="274"/>
        <v>0</v>
      </c>
      <c r="J652" s="416">
        <f t="shared" si="274"/>
        <v>0</v>
      </c>
      <c r="K652" s="416">
        <f t="shared" si="274"/>
        <v>0</v>
      </c>
      <c r="L652" s="416">
        <f t="shared" si="274"/>
        <v>0</v>
      </c>
      <c r="M652" s="283"/>
      <c r="N652" s="405">
        <f t="shared" ref="N652:W660" si="275">C652*$B652</f>
        <v>0.49</v>
      </c>
      <c r="O652" s="95">
        <f t="shared" si="275"/>
        <v>0.49</v>
      </c>
      <c r="P652" s="95">
        <f t="shared" si="275"/>
        <v>0.49</v>
      </c>
      <c r="Q652" s="95">
        <f t="shared" si="275"/>
        <v>0.49</v>
      </c>
      <c r="R652" s="95">
        <f t="shared" si="275"/>
        <v>0</v>
      </c>
      <c r="S652" s="95">
        <f t="shared" si="275"/>
        <v>0</v>
      </c>
      <c r="T652" s="95">
        <f t="shared" si="275"/>
        <v>0</v>
      </c>
      <c r="U652" s="95">
        <f t="shared" si="275"/>
        <v>0</v>
      </c>
      <c r="V652" s="95">
        <f t="shared" si="275"/>
        <v>0</v>
      </c>
      <c r="W652" s="95">
        <f t="shared" si="275"/>
        <v>0</v>
      </c>
      <c r="X652" s="283"/>
    </row>
    <row r="653" spans="1:24" s="8" customFormat="1" outlineLevel="2">
      <c r="A653" s="416">
        <f>D$52</f>
        <v>1</v>
      </c>
      <c r="B653" s="416">
        <f>B$52</f>
        <v>0.78</v>
      </c>
      <c r="C653" s="411">
        <f>IF(C$649&gt;$A653,$A653-$A652,C$649-SUM(C652:C$652))</f>
        <v>0.5</v>
      </c>
      <c r="D653" s="416">
        <f>IF(D$649&gt;$A653,$A653-$A652,D$649-SUM(D652:D$652))</f>
        <v>0.5</v>
      </c>
      <c r="E653" s="416">
        <f>IF(E$649&gt;$A653,$A653-$A652,E$649-SUM(E652:E$652))</f>
        <v>0.5</v>
      </c>
      <c r="F653" s="416">
        <f>IF(F$649&gt;$A653,$A653-$A652,F$649-SUM(F652:F$652))</f>
        <v>0.5</v>
      </c>
      <c r="G653" s="416">
        <f>IF(G$649&gt;$A653,$A653-$A652,G$649-SUM(G652:G$652))</f>
        <v>0</v>
      </c>
      <c r="H653" s="416">
        <f>IF(H$649&gt;$A653,$A653-$A652,H$649-SUM(H652:H$652))</f>
        <v>0</v>
      </c>
      <c r="I653" s="416">
        <f>IF(I$649&gt;$A653,$A653-$A652,I$649-SUM(I652:I$652))</f>
        <v>0</v>
      </c>
      <c r="J653" s="416">
        <f>IF(J$649&gt;$A653,$A653-$A652,J$649-SUM(J652:J$652))</f>
        <v>0</v>
      </c>
      <c r="K653" s="416">
        <f>IF(K$649&gt;$A653,$A653-$A652,K$649-SUM(K652:K$652))</f>
        <v>0</v>
      </c>
      <c r="L653" s="416">
        <f>IF(L$649&gt;$A653,$A653-$A652,L$649-SUM(L652:L$652))</f>
        <v>0</v>
      </c>
      <c r="M653" s="283"/>
      <c r="N653" s="405">
        <f t="shared" si="275"/>
        <v>0.39</v>
      </c>
      <c r="O653" s="95">
        <f t="shared" si="275"/>
        <v>0.39</v>
      </c>
      <c r="P653" s="95">
        <f t="shared" si="275"/>
        <v>0.39</v>
      </c>
      <c r="Q653" s="95">
        <f t="shared" si="275"/>
        <v>0.39</v>
      </c>
      <c r="R653" s="95">
        <f t="shared" si="275"/>
        <v>0</v>
      </c>
      <c r="S653" s="95">
        <f t="shared" si="275"/>
        <v>0</v>
      </c>
      <c r="T653" s="95">
        <f t="shared" si="275"/>
        <v>0</v>
      </c>
      <c r="U653" s="95">
        <f t="shared" si="275"/>
        <v>0</v>
      </c>
      <c r="V653" s="95">
        <f t="shared" si="275"/>
        <v>0</v>
      </c>
      <c r="W653" s="95">
        <f t="shared" si="275"/>
        <v>0</v>
      </c>
      <c r="X653" s="283"/>
    </row>
    <row r="654" spans="1:24" s="8" customFormat="1" outlineLevel="2">
      <c r="A654" s="416">
        <f>D$53</f>
        <v>2</v>
      </c>
      <c r="B654" s="416">
        <f>B$53</f>
        <v>0.68</v>
      </c>
      <c r="C654" s="411">
        <f>IF(C$649&gt;$A654,$A654-$A653,C$649-SUM(C$652:C653))</f>
        <v>1</v>
      </c>
      <c r="D654" s="416">
        <f>IF(D$649&gt;$A654,$A654-$A653,D$649-SUM(D$652:D653))</f>
        <v>1</v>
      </c>
      <c r="E654" s="416">
        <f>IF(E$649&gt;$A654,$A654-$A653,E$649-SUM(E$652:E653))</f>
        <v>1</v>
      </c>
      <c r="F654" s="416">
        <f>IF(F$649&gt;$A654,$A654-$A653,F$649-SUM(F$652:F653))</f>
        <v>0.30000000000000004</v>
      </c>
      <c r="G654" s="416">
        <f>IF(G$649&gt;$A654,$A654-$A653,G$649-SUM(G$652:G653))</f>
        <v>0</v>
      </c>
      <c r="H654" s="416">
        <f>IF(H$649&gt;$A654,$A654-$A653,H$649-SUM(H$652:H653))</f>
        <v>0</v>
      </c>
      <c r="I654" s="416">
        <f>IF(I$649&gt;$A654,$A654-$A653,I$649-SUM(I$652:I653))</f>
        <v>0</v>
      </c>
      <c r="J654" s="416">
        <f>IF(J$649&gt;$A654,$A654-$A653,J$649-SUM(J$652:J653))</f>
        <v>0</v>
      </c>
      <c r="K654" s="416">
        <f>IF(K$649&gt;$A654,$A654-$A653,K$649-SUM(K$652:K653))</f>
        <v>0</v>
      </c>
      <c r="L654" s="416">
        <f>IF(L$649&gt;$A654,$A654-$A653,L$649-SUM(L$652:L653))</f>
        <v>0</v>
      </c>
      <c r="M654" s="283"/>
      <c r="N654" s="405">
        <f t="shared" si="275"/>
        <v>0.68</v>
      </c>
      <c r="O654" s="95">
        <f t="shared" si="275"/>
        <v>0.68</v>
      </c>
      <c r="P654" s="95">
        <f t="shared" si="275"/>
        <v>0.68</v>
      </c>
      <c r="Q654" s="95">
        <f t="shared" si="275"/>
        <v>0.20400000000000004</v>
      </c>
      <c r="R654" s="95">
        <f t="shared" si="275"/>
        <v>0</v>
      </c>
      <c r="S654" s="95">
        <f t="shared" si="275"/>
        <v>0</v>
      </c>
      <c r="T654" s="95">
        <f t="shared" si="275"/>
        <v>0</v>
      </c>
      <c r="U654" s="95">
        <f t="shared" si="275"/>
        <v>0</v>
      </c>
      <c r="V654" s="95">
        <f t="shared" si="275"/>
        <v>0</v>
      </c>
      <c r="W654" s="95">
        <f t="shared" si="275"/>
        <v>0</v>
      </c>
      <c r="X654" s="283"/>
    </row>
    <row r="655" spans="1:24" s="8" customFormat="1" outlineLevel="2">
      <c r="A655" s="416">
        <f>D$54</f>
        <v>5</v>
      </c>
      <c r="B655" s="416">
        <f>B$54</f>
        <v>0.45</v>
      </c>
      <c r="C655" s="411">
        <f>IF(C$649&gt;$A655,$A655-$A654,C$649-SUM(C$652:C654))</f>
        <v>1.4000000000000004</v>
      </c>
      <c r="D655" s="416">
        <f>IF(D$649&gt;$A655,$A655-$A654,D$649-SUM(D$652:D654))</f>
        <v>0.39999999999999991</v>
      </c>
      <c r="E655" s="416">
        <f>IF(E$649&gt;$A655,$A655-$A654,E$649-SUM(E$652:E654))</f>
        <v>0</v>
      </c>
      <c r="F655" s="416">
        <f>IF(F$649&gt;$A655,$A655-$A654,F$649-SUM(F$652:F654))</f>
        <v>0</v>
      </c>
      <c r="G655" s="416">
        <f>IF(G$649&gt;$A655,$A655-$A654,G$649-SUM(G$652:G654))</f>
        <v>0</v>
      </c>
      <c r="H655" s="416">
        <f>IF(H$649&gt;$A655,$A655-$A654,H$649-SUM(H$652:H654))</f>
        <v>0</v>
      </c>
      <c r="I655" s="416">
        <f>IF(I$649&gt;$A655,$A655-$A654,I$649-SUM(I$652:I654))</f>
        <v>0</v>
      </c>
      <c r="J655" s="416">
        <f>IF(J$649&gt;$A655,$A655-$A654,J$649-SUM(J$652:J654))</f>
        <v>0</v>
      </c>
      <c r="K655" s="416">
        <f>IF(K$649&gt;$A655,$A655-$A654,K$649-SUM(K$652:K654))</f>
        <v>0</v>
      </c>
      <c r="L655" s="416">
        <f>IF(L$649&gt;$A655,$A655-$A654,L$649-SUM(L$652:L654))</f>
        <v>0</v>
      </c>
      <c r="M655" s="283"/>
      <c r="N655" s="405">
        <f t="shared" si="275"/>
        <v>0.63000000000000023</v>
      </c>
      <c r="O655" s="95">
        <f t="shared" si="275"/>
        <v>0.17999999999999997</v>
      </c>
      <c r="P655" s="95">
        <f t="shared" si="275"/>
        <v>0</v>
      </c>
      <c r="Q655" s="95">
        <f t="shared" si="275"/>
        <v>0</v>
      </c>
      <c r="R655" s="95">
        <f t="shared" si="275"/>
        <v>0</v>
      </c>
      <c r="S655" s="95">
        <f t="shared" si="275"/>
        <v>0</v>
      </c>
      <c r="T655" s="95">
        <f t="shared" si="275"/>
        <v>0</v>
      </c>
      <c r="U655" s="95">
        <f t="shared" si="275"/>
        <v>0</v>
      </c>
      <c r="V655" s="95">
        <f t="shared" si="275"/>
        <v>0</v>
      </c>
      <c r="W655" s="95">
        <f t="shared" si="275"/>
        <v>0</v>
      </c>
      <c r="X655" s="283"/>
    </row>
    <row r="656" spans="1:24" s="8" customFormat="1" outlineLevel="2">
      <c r="A656" s="416">
        <f>D$55</f>
        <v>10</v>
      </c>
      <c r="B656" s="416">
        <f>B$55</f>
        <v>0.42</v>
      </c>
      <c r="C656" s="411">
        <f>IF(C$649&gt;$A656,$A656-$A655,C$649-SUM(C$652:C655))</f>
        <v>0</v>
      </c>
      <c r="D656" s="416">
        <f>IF(D$649&gt;$A656,$A656-$A655,D$649-SUM(D$652:D655))</f>
        <v>0</v>
      </c>
      <c r="E656" s="416">
        <f>IF(E$649&gt;$A656,$A656-$A655,E$649-SUM(E$652:E655))</f>
        <v>0</v>
      </c>
      <c r="F656" s="416">
        <f>IF(F$649&gt;$A656,$A656-$A655,F$649-SUM(F$652:F655))</f>
        <v>0</v>
      </c>
      <c r="G656" s="416">
        <f>IF(G$649&gt;$A656,$A656-$A655,G$649-SUM(G$652:G655))</f>
        <v>0</v>
      </c>
      <c r="H656" s="416">
        <f>IF(H$649&gt;$A656,$A656-$A655,H$649-SUM(H$652:H655))</f>
        <v>0</v>
      </c>
      <c r="I656" s="416">
        <f>IF(I$649&gt;$A656,$A656-$A655,I$649-SUM(I$652:I655))</f>
        <v>0</v>
      </c>
      <c r="J656" s="416">
        <f>IF(J$649&gt;$A656,$A656-$A655,J$649-SUM(J$652:J655))</f>
        <v>0</v>
      </c>
      <c r="K656" s="416">
        <f>IF(K$649&gt;$A656,$A656-$A655,K$649-SUM(K$652:K655))</f>
        <v>0</v>
      </c>
      <c r="L656" s="416">
        <f>IF(L$649&gt;$A656,$A656-$A655,L$649-SUM(L$652:L655))</f>
        <v>0</v>
      </c>
      <c r="M656" s="283"/>
      <c r="N656" s="405">
        <f t="shared" si="275"/>
        <v>0</v>
      </c>
      <c r="O656" s="95">
        <f t="shared" si="275"/>
        <v>0</v>
      </c>
      <c r="P656" s="95">
        <f t="shared" si="275"/>
        <v>0</v>
      </c>
      <c r="Q656" s="95">
        <f t="shared" si="275"/>
        <v>0</v>
      </c>
      <c r="R656" s="95">
        <f t="shared" si="275"/>
        <v>0</v>
      </c>
      <c r="S656" s="95">
        <f t="shared" si="275"/>
        <v>0</v>
      </c>
      <c r="T656" s="95">
        <f t="shared" si="275"/>
        <v>0</v>
      </c>
      <c r="U656" s="95">
        <f t="shared" si="275"/>
        <v>0</v>
      </c>
      <c r="V656" s="95">
        <f t="shared" si="275"/>
        <v>0</v>
      </c>
      <c r="W656" s="95">
        <f t="shared" si="275"/>
        <v>0</v>
      </c>
      <c r="X656" s="283"/>
    </row>
    <row r="657" spans="1:24" s="8" customFormat="1" outlineLevel="2">
      <c r="A657" s="416">
        <f>D$56</f>
        <v>20</v>
      </c>
      <c r="B657" s="416">
        <f>B$56</f>
        <v>0.22</v>
      </c>
      <c r="C657" s="411">
        <f>IF(C$649&gt;$A657,$A657-$A656,C$649-SUM(C$652:C656))</f>
        <v>0</v>
      </c>
      <c r="D657" s="416">
        <f>IF(D$649&gt;$A657,$A657-$A656,D$649-SUM(D$652:D656))</f>
        <v>0</v>
      </c>
      <c r="E657" s="416">
        <f>IF(E$649&gt;$A657,$A657-$A656,E$649-SUM(E$652:E656))</f>
        <v>0</v>
      </c>
      <c r="F657" s="416">
        <f>IF(F$649&gt;$A657,$A657-$A656,F$649-SUM(F$652:F656))</f>
        <v>0</v>
      </c>
      <c r="G657" s="416">
        <f>IF(G$649&gt;$A657,$A657-$A656,G$649-SUM(G$652:G656))</f>
        <v>0</v>
      </c>
      <c r="H657" s="416">
        <f>IF(H$649&gt;$A657,$A657-$A656,H$649-SUM(H$652:H656))</f>
        <v>0</v>
      </c>
      <c r="I657" s="416">
        <f>IF(I$649&gt;$A657,$A657-$A656,I$649-SUM(I$652:I656))</f>
        <v>0</v>
      </c>
      <c r="J657" s="416">
        <f>IF(J$649&gt;$A657,$A657-$A656,J$649-SUM(J$652:J656))</f>
        <v>0</v>
      </c>
      <c r="K657" s="416">
        <f>IF(K$649&gt;$A657,$A657-$A656,K$649-SUM(K$652:K656))</f>
        <v>0</v>
      </c>
      <c r="L657" s="416">
        <f>IF(L$649&gt;$A657,$A657-$A656,L$649-SUM(L$652:L656))</f>
        <v>0</v>
      </c>
      <c r="M657" s="283"/>
      <c r="N657" s="405">
        <f t="shared" si="275"/>
        <v>0</v>
      </c>
      <c r="O657" s="95">
        <f t="shared" si="275"/>
        <v>0</v>
      </c>
      <c r="P657" s="95">
        <f t="shared" si="275"/>
        <v>0</v>
      </c>
      <c r="Q657" s="95">
        <f t="shared" si="275"/>
        <v>0</v>
      </c>
      <c r="R657" s="95">
        <f t="shared" si="275"/>
        <v>0</v>
      </c>
      <c r="S657" s="95">
        <f t="shared" si="275"/>
        <v>0</v>
      </c>
      <c r="T657" s="95">
        <f t="shared" si="275"/>
        <v>0</v>
      </c>
      <c r="U657" s="95">
        <f t="shared" si="275"/>
        <v>0</v>
      </c>
      <c r="V657" s="95">
        <f t="shared" si="275"/>
        <v>0</v>
      </c>
      <c r="W657" s="95">
        <f t="shared" si="275"/>
        <v>0</v>
      </c>
      <c r="X657" s="283"/>
    </row>
    <row r="658" spans="1:24" s="8" customFormat="1" outlineLevel="2">
      <c r="A658" s="416">
        <f>D$57</f>
        <v>50</v>
      </c>
      <c r="B658" s="416">
        <f>B$57</f>
        <v>0.2</v>
      </c>
      <c r="C658" s="411">
        <f>IF(C$649&gt;$A658,$A658-$A657,C$649-SUM(C$652:C657))</f>
        <v>0</v>
      </c>
      <c r="D658" s="416">
        <f>IF(D$649&gt;$A658,$A658-$A657,D$649-SUM(D$652:D657))</f>
        <v>0</v>
      </c>
      <c r="E658" s="416">
        <f>IF(E$649&gt;$A658,$A658-$A657,E$649-SUM(E$652:E657))</f>
        <v>0</v>
      </c>
      <c r="F658" s="416">
        <f>IF(F$649&gt;$A658,$A658-$A657,F$649-SUM(F$652:F657))</f>
        <v>0</v>
      </c>
      <c r="G658" s="416">
        <f>IF(G$649&gt;$A658,$A658-$A657,G$649-SUM(G$652:G657))</f>
        <v>0</v>
      </c>
      <c r="H658" s="416">
        <f>IF(H$649&gt;$A658,$A658-$A657,H$649-SUM(H$652:H657))</f>
        <v>0</v>
      </c>
      <c r="I658" s="416">
        <f>IF(I$649&gt;$A658,$A658-$A657,I$649-SUM(I$652:I657))</f>
        <v>0</v>
      </c>
      <c r="J658" s="416">
        <f>IF(J$649&gt;$A658,$A658-$A657,J$649-SUM(J$652:J657))</f>
        <v>0</v>
      </c>
      <c r="K658" s="416">
        <f>IF(K$649&gt;$A658,$A658-$A657,K$649-SUM(K$652:K657))</f>
        <v>0</v>
      </c>
      <c r="L658" s="416">
        <f>IF(L$649&gt;$A658,$A658-$A657,L$649-SUM(L$652:L657))</f>
        <v>0</v>
      </c>
      <c r="M658" s="283"/>
      <c r="N658" s="405">
        <f t="shared" si="275"/>
        <v>0</v>
      </c>
      <c r="O658" s="95">
        <f t="shared" si="275"/>
        <v>0</v>
      </c>
      <c r="P658" s="95">
        <f t="shared" si="275"/>
        <v>0</v>
      </c>
      <c r="Q658" s="95">
        <f t="shared" si="275"/>
        <v>0</v>
      </c>
      <c r="R658" s="95">
        <f t="shared" si="275"/>
        <v>0</v>
      </c>
      <c r="S658" s="95">
        <f t="shared" si="275"/>
        <v>0</v>
      </c>
      <c r="T658" s="95">
        <f t="shared" si="275"/>
        <v>0</v>
      </c>
      <c r="U658" s="95">
        <f t="shared" si="275"/>
        <v>0</v>
      </c>
      <c r="V658" s="95">
        <f t="shared" si="275"/>
        <v>0</v>
      </c>
      <c r="W658" s="95">
        <f t="shared" si="275"/>
        <v>0</v>
      </c>
      <c r="X658" s="283"/>
    </row>
    <row r="659" spans="1:24" s="8" customFormat="1" outlineLevel="2">
      <c r="A659" s="416">
        <f>D$58</f>
        <v>75</v>
      </c>
      <c r="B659" s="416">
        <f>B$58</f>
        <v>0.15</v>
      </c>
      <c r="C659" s="411">
        <f>IF(C$649&gt;$A659,$A659-$A658,C$649-SUM(C$652:C658))</f>
        <v>0</v>
      </c>
      <c r="D659" s="416">
        <f>IF(D$649&gt;$A659,$A659-$A658,D$649-SUM(D$652:D658))</f>
        <v>0</v>
      </c>
      <c r="E659" s="416">
        <f>IF(E$649&gt;$A659,$A659-$A658,E$649-SUM(E$652:E658))</f>
        <v>0</v>
      </c>
      <c r="F659" s="416">
        <f>IF(F$649&gt;$A659,$A659-$A658,F$649-SUM(F$652:F658))</f>
        <v>0</v>
      </c>
      <c r="G659" s="416">
        <f>IF(G$649&gt;$A659,$A659-$A658,G$649-SUM(G$652:G658))</f>
        <v>0</v>
      </c>
      <c r="H659" s="416">
        <f>IF(H$649&gt;$A659,$A659-$A658,H$649-SUM(H$652:H658))</f>
        <v>0</v>
      </c>
      <c r="I659" s="416">
        <f>IF(I$649&gt;$A659,$A659-$A658,I$649-SUM(I$652:I658))</f>
        <v>0</v>
      </c>
      <c r="J659" s="416">
        <f>IF(J$649&gt;$A659,$A659-$A658,J$649-SUM(J$652:J658))</f>
        <v>0</v>
      </c>
      <c r="K659" s="416">
        <f>IF(K$649&gt;$A659,$A659-$A658,K$649-SUM(K$652:K658))</f>
        <v>0</v>
      </c>
      <c r="L659" s="416">
        <f>IF(L$649&gt;$A659,$A659-$A658,L$649-SUM(L$652:L658))</f>
        <v>0</v>
      </c>
      <c r="M659" s="283"/>
      <c r="N659" s="405">
        <f t="shared" si="275"/>
        <v>0</v>
      </c>
      <c r="O659" s="95">
        <f t="shared" si="275"/>
        <v>0</v>
      </c>
      <c r="P659" s="95">
        <f t="shared" si="275"/>
        <v>0</v>
      </c>
      <c r="Q659" s="95">
        <f t="shared" si="275"/>
        <v>0</v>
      </c>
      <c r="R659" s="95">
        <f t="shared" si="275"/>
        <v>0</v>
      </c>
      <c r="S659" s="95">
        <f t="shared" si="275"/>
        <v>0</v>
      </c>
      <c r="T659" s="95">
        <f t="shared" si="275"/>
        <v>0</v>
      </c>
      <c r="U659" s="95">
        <f t="shared" si="275"/>
        <v>0</v>
      </c>
      <c r="V659" s="95">
        <f t="shared" si="275"/>
        <v>0</v>
      </c>
      <c r="W659" s="95">
        <f t="shared" si="275"/>
        <v>0</v>
      </c>
      <c r="X659" s="283"/>
    </row>
    <row r="660" spans="1:24" s="8" customFormat="1" outlineLevel="2">
      <c r="A660" s="416">
        <f>D$59</f>
        <v>9999</v>
      </c>
      <c r="B660" s="416">
        <f>B$59</f>
        <v>0.1</v>
      </c>
      <c r="C660" s="411">
        <f>IF(C$649&gt;$A660,$A660-$A659,C$649-SUM(C$652:C659))</f>
        <v>0</v>
      </c>
      <c r="D660" s="416">
        <f>IF(D$649&gt;$A660,$A660-$A659,D$649-SUM(D$652:D659))</f>
        <v>0</v>
      </c>
      <c r="E660" s="416">
        <f>IF(E$649&gt;$A660,$A660-$A659,E$649-SUM(E$652:E659))</f>
        <v>0</v>
      </c>
      <c r="F660" s="416">
        <f>IF(F$649&gt;$A660,$A660-$A659,F$649-SUM(F$652:F659))</f>
        <v>0</v>
      </c>
      <c r="G660" s="416">
        <f>IF(G$649&gt;$A660,$A660-$A659,G$649-SUM(G$652:G659))</f>
        <v>0</v>
      </c>
      <c r="H660" s="416">
        <f>IF(H$649&gt;$A660,$A660-$A659,H$649-SUM(H$652:H659))</f>
        <v>0</v>
      </c>
      <c r="I660" s="416">
        <f>IF(I$649&gt;$A660,$A660-$A659,I$649-SUM(I$652:I659))</f>
        <v>0</v>
      </c>
      <c r="J660" s="416">
        <f>IF(J$649&gt;$A660,$A660-$A659,J$649-SUM(J$652:J659))</f>
        <v>0</v>
      </c>
      <c r="K660" s="416">
        <f>IF(K$649&gt;$A660,$A660-$A659,K$649-SUM(K$652:K659))</f>
        <v>0</v>
      </c>
      <c r="L660" s="416">
        <f>IF(L$649&gt;$A660,$A660-$A659,L$649-SUM(L$652:L659))</f>
        <v>0</v>
      </c>
      <c r="M660" s="283"/>
      <c r="N660" s="405">
        <f t="shared" si="275"/>
        <v>0</v>
      </c>
      <c r="O660" s="95">
        <f t="shared" si="275"/>
        <v>0</v>
      </c>
      <c r="P660" s="95">
        <f t="shared" si="275"/>
        <v>0</v>
      </c>
      <c r="Q660" s="95">
        <f t="shared" si="275"/>
        <v>0</v>
      </c>
      <c r="R660" s="95">
        <f t="shared" si="275"/>
        <v>0</v>
      </c>
      <c r="S660" s="95">
        <f t="shared" si="275"/>
        <v>0</v>
      </c>
      <c r="T660" s="95">
        <f t="shared" si="275"/>
        <v>0</v>
      </c>
      <c r="U660" s="95">
        <f t="shared" si="275"/>
        <v>0</v>
      </c>
      <c r="V660" s="95">
        <f t="shared" si="275"/>
        <v>0</v>
      </c>
      <c r="W660" s="95">
        <f t="shared" si="275"/>
        <v>0</v>
      </c>
      <c r="X660" s="283"/>
    </row>
    <row r="661" spans="1:24" s="8" customFormat="1" outlineLevel="1">
      <c r="A661" s="404"/>
      <c r="B661" s="417" t="str">
        <f>CONCATENATE(B648," Total")</f>
        <v>Toshiba Total</v>
      </c>
      <c r="C661" s="418">
        <f>SUM(C652:C660)</f>
        <v>3.4000000000000004</v>
      </c>
      <c r="D661" s="419">
        <f t="shared" ref="D661:L661" si="276">SUM(D652:D660)</f>
        <v>2.4</v>
      </c>
      <c r="E661" s="419">
        <f t="shared" si="276"/>
        <v>2</v>
      </c>
      <c r="F661" s="419">
        <f t="shared" si="276"/>
        <v>1.3</v>
      </c>
      <c r="G661" s="419">
        <f t="shared" si="276"/>
        <v>0</v>
      </c>
      <c r="H661" s="419">
        <f t="shared" si="276"/>
        <v>0</v>
      </c>
      <c r="I661" s="419">
        <f t="shared" si="276"/>
        <v>0</v>
      </c>
      <c r="J661" s="419">
        <f t="shared" si="276"/>
        <v>0</v>
      </c>
      <c r="K661" s="419">
        <f t="shared" si="276"/>
        <v>0</v>
      </c>
      <c r="L661" s="419">
        <f t="shared" si="276"/>
        <v>0</v>
      </c>
      <c r="M661" s="283"/>
      <c r="N661" s="420">
        <f>SUM(N652:N660)</f>
        <v>2.1900000000000004</v>
      </c>
      <c r="O661" s="420">
        <f t="shared" ref="O661:W661" si="277">SUM(O652:O660)</f>
        <v>1.74</v>
      </c>
      <c r="P661" s="420">
        <f t="shared" si="277"/>
        <v>1.56</v>
      </c>
      <c r="Q661" s="420">
        <f t="shared" si="277"/>
        <v>1.0840000000000001</v>
      </c>
      <c r="R661" s="420">
        <f t="shared" si="277"/>
        <v>0</v>
      </c>
      <c r="S661" s="420">
        <f t="shared" si="277"/>
        <v>0</v>
      </c>
      <c r="T661" s="420">
        <f t="shared" si="277"/>
        <v>0</v>
      </c>
      <c r="U661" s="420">
        <f t="shared" si="277"/>
        <v>0</v>
      </c>
      <c r="V661" s="420">
        <f t="shared" si="277"/>
        <v>0</v>
      </c>
      <c r="W661" s="420">
        <f t="shared" si="277"/>
        <v>0</v>
      </c>
      <c r="X661" s="283"/>
    </row>
    <row r="662" spans="1:24" s="8" customFormat="1" outlineLevel="1">
      <c r="B662" s="421" t="s">
        <v>778</v>
      </c>
      <c r="C662" s="422">
        <f t="shared" ref="C662:L662" si="278">C661-C649</f>
        <v>0</v>
      </c>
      <c r="D662" s="423">
        <f t="shared" si="278"/>
        <v>0</v>
      </c>
      <c r="E662" s="423">
        <f t="shared" si="278"/>
        <v>0</v>
      </c>
      <c r="F662" s="423">
        <f t="shared" si="278"/>
        <v>0</v>
      </c>
      <c r="G662" s="423">
        <f t="shared" si="278"/>
        <v>0</v>
      </c>
      <c r="H662" s="423">
        <f t="shared" si="278"/>
        <v>0</v>
      </c>
      <c r="I662" s="423">
        <f t="shared" si="278"/>
        <v>0</v>
      </c>
      <c r="J662" s="423">
        <f t="shared" si="278"/>
        <v>0</v>
      </c>
      <c r="K662" s="423">
        <f t="shared" si="278"/>
        <v>0</v>
      </c>
      <c r="L662" s="423">
        <f t="shared" si="278"/>
        <v>0</v>
      </c>
      <c r="M662" s="283"/>
      <c r="N662" s="283"/>
      <c r="O662" s="283"/>
      <c r="P662" s="283"/>
      <c r="Q662" s="283"/>
      <c r="R662" s="283"/>
      <c r="S662" s="283"/>
      <c r="T662" s="283"/>
      <c r="U662" s="283"/>
      <c r="V662" s="283"/>
      <c r="W662" s="283"/>
      <c r="X662" s="283"/>
    </row>
    <row r="663" spans="1:24" s="8" customFormat="1" outlineLevel="1">
      <c r="B663" s="283"/>
      <c r="C663" s="283"/>
      <c r="M663" s="283"/>
      <c r="X663" s="283"/>
    </row>
    <row r="664" spans="1:24" s="8" customFormat="1" outlineLevel="1" collapsed="1">
      <c r="A664" s="8">
        <f>A648+1</f>
        <v>31</v>
      </c>
      <c r="B664" s="424" t="str">
        <f>A170</f>
        <v>Vivo</v>
      </c>
      <c r="C664" s="80">
        <v>2007</v>
      </c>
      <c r="D664" s="66">
        <f>C664+1</f>
        <v>2008</v>
      </c>
      <c r="E664" s="66">
        <f t="shared" ref="E664:L664" si="279">D664+1</f>
        <v>2009</v>
      </c>
      <c r="F664" s="66">
        <f t="shared" si="279"/>
        <v>2010</v>
      </c>
      <c r="G664" s="66">
        <f t="shared" si="279"/>
        <v>2011</v>
      </c>
      <c r="H664" s="66">
        <f t="shared" si="279"/>
        <v>2012</v>
      </c>
      <c r="I664" s="66">
        <f t="shared" si="279"/>
        <v>2013</v>
      </c>
      <c r="J664" s="66">
        <f t="shared" si="279"/>
        <v>2014</v>
      </c>
      <c r="K664" s="66">
        <f t="shared" si="279"/>
        <v>2015</v>
      </c>
      <c r="L664" s="66">
        <f t="shared" si="279"/>
        <v>2016</v>
      </c>
      <c r="M664" s="283"/>
      <c r="N664" s="168">
        <f t="shared" ref="N664:W664" si="280">C664</f>
        <v>2007</v>
      </c>
      <c r="O664" s="66">
        <f t="shared" si="280"/>
        <v>2008</v>
      </c>
      <c r="P664" s="66">
        <f t="shared" si="280"/>
        <v>2009</v>
      </c>
      <c r="Q664" s="66">
        <f t="shared" si="280"/>
        <v>2010</v>
      </c>
      <c r="R664" s="66">
        <f t="shared" si="280"/>
        <v>2011</v>
      </c>
      <c r="S664" s="66">
        <f t="shared" si="280"/>
        <v>2012</v>
      </c>
      <c r="T664" s="66">
        <f t="shared" si="280"/>
        <v>2013</v>
      </c>
      <c r="U664" s="66">
        <f t="shared" si="280"/>
        <v>2014</v>
      </c>
      <c r="V664" s="66">
        <f t="shared" si="280"/>
        <v>2015</v>
      </c>
      <c r="W664" s="66">
        <f t="shared" si="280"/>
        <v>2016</v>
      </c>
      <c r="X664" s="283"/>
    </row>
    <row r="665" spans="1:24" s="8" customFormat="1" outlineLevel="2">
      <c r="B665" s="8" t="s">
        <v>1348</v>
      </c>
      <c r="C665" s="411">
        <f t="shared" ref="C665:L665" si="281">VLOOKUP($B664,$A$140:$K$175,C$183+1,FALSE)</f>
        <v>0</v>
      </c>
      <c r="D665" s="412">
        <f t="shared" si="281"/>
        <v>0</v>
      </c>
      <c r="E665" s="412">
        <f t="shared" si="281"/>
        <v>0</v>
      </c>
      <c r="F665" s="412">
        <f t="shared" si="281"/>
        <v>0</v>
      </c>
      <c r="G665" s="412">
        <f t="shared" si="281"/>
        <v>0</v>
      </c>
      <c r="H665" s="412">
        <f t="shared" si="281"/>
        <v>0</v>
      </c>
      <c r="I665" s="412">
        <f t="shared" si="281"/>
        <v>0</v>
      </c>
      <c r="J665" s="412">
        <f t="shared" si="281"/>
        <v>0</v>
      </c>
      <c r="K665" s="412">
        <f t="shared" si="281"/>
        <v>38.5</v>
      </c>
      <c r="L665" s="412">
        <f t="shared" si="281"/>
        <v>76.900000000000006</v>
      </c>
      <c r="M665" s="283"/>
      <c r="N665" s="283"/>
      <c r="X665" s="283"/>
    </row>
    <row r="666" spans="1:24" s="8" customFormat="1" outlineLevel="2">
      <c r="C666" s="413"/>
      <c r="D666" s="414"/>
      <c r="E666" s="414"/>
      <c r="F666" s="414"/>
      <c r="G666" s="414"/>
      <c r="H666" s="414"/>
      <c r="I666" s="414"/>
      <c r="J666" s="414"/>
      <c r="K666" s="414"/>
      <c r="L666" s="414"/>
      <c r="M666" s="283"/>
      <c r="N666" s="283"/>
      <c r="X666" s="283"/>
    </row>
    <row r="667" spans="1:24" s="8" customFormat="1" outlineLevel="2">
      <c r="A667" s="66" t="s">
        <v>1349</v>
      </c>
      <c r="B667" s="66" t="s">
        <v>1350</v>
      </c>
      <c r="C667" s="415"/>
      <c r="F667" s="9"/>
      <c r="M667" s="283"/>
      <c r="N667" s="283"/>
      <c r="X667" s="283"/>
    </row>
    <row r="668" spans="1:24" s="8" customFormat="1" outlineLevel="2">
      <c r="A668" s="416">
        <f>D$51</f>
        <v>0.5</v>
      </c>
      <c r="B668" s="416">
        <f>B$51</f>
        <v>0.98</v>
      </c>
      <c r="C668" s="411">
        <f>IF(C$665&gt;$A668,$A668,C$665)</f>
        <v>0</v>
      </c>
      <c r="D668" s="416">
        <f t="shared" ref="D668:L668" si="282">IF(D$665&gt;$A668,$A668,D$665)</f>
        <v>0</v>
      </c>
      <c r="E668" s="416">
        <f t="shared" si="282"/>
        <v>0</v>
      </c>
      <c r="F668" s="416">
        <f t="shared" si="282"/>
        <v>0</v>
      </c>
      <c r="G668" s="416">
        <f t="shared" si="282"/>
        <v>0</v>
      </c>
      <c r="H668" s="416">
        <f t="shared" si="282"/>
        <v>0</v>
      </c>
      <c r="I668" s="416">
        <f t="shared" si="282"/>
        <v>0</v>
      </c>
      <c r="J668" s="416">
        <f t="shared" si="282"/>
        <v>0</v>
      </c>
      <c r="K668" s="416">
        <f t="shared" si="282"/>
        <v>0.5</v>
      </c>
      <c r="L668" s="416">
        <f t="shared" si="282"/>
        <v>0.5</v>
      </c>
      <c r="M668" s="283"/>
      <c r="N668" s="405">
        <f t="shared" ref="N668:W676" si="283">C668*$B668</f>
        <v>0</v>
      </c>
      <c r="O668" s="95">
        <f t="shared" si="283"/>
        <v>0</v>
      </c>
      <c r="P668" s="95">
        <f t="shared" si="283"/>
        <v>0</v>
      </c>
      <c r="Q668" s="95">
        <f t="shared" si="283"/>
        <v>0</v>
      </c>
      <c r="R668" s="95">
        <f t="shared" si="283"/>
        <v>0</v>
      </c>
      <c r="S668" s="95">
        <f t="shared" si="283"/>
        <v>0</v>
      </c>
      <c r="T668" s="95">
        <f t="shared" si="283"/>
        <v>0</v>
      </c>
      <c r="U668" s="95">
        <f t="shared" si="283"/>
        <v>0</v>
      </c>
      <c r="V668" s="95">
        <f t="shared" si="283"/>
        <v>0.49</v>
      </c>
      <c r="W668" s="95">
        <f t="shared" si="283"/>
        <v>0.49</v>
      </c>
      <c r="X668" s="283"/>
    </row>
    <row r="669" spans="1:24" s="8" customFormat="1" outlineLevel="2">
      <c r="A669" s="416">
        <f>D$52</f>
        <v>1</v>
      </c>
      <c r="B669" s="416">
        <f>B$52</f>
        <v>0.78</v>
      </c>
      <c r="C669" s="411">
        <f>IF(C$665&gt;$A669,$A669-$A668,C$665-SUM(C668:C$668))</f>
        <v>0</v>
      </c>
      <c r="D669" s="416">
        <f>IF(D$665&gt;$A669,$A669-$A668,D$665-SUM(D668:D$668))</f>
        <v>0</v>
      </c>
      <c r="E669" s="416">
        <f>IF(E$665&gt;$A669,$A669-$A668,E$665-SUM(E668:E$668))</f>
        <v>0</v>
      </c>
      <c r="F669" s="416">
        <f>IF(F$665&gt;$A669,$A669-$A668,F$665-SUM(F668:F$668))</f>
        <v>0</v>
      </c>
      <c r="G669" s="416">
        <f>IF(G$665&gt;$A669,$A669-$A668,G$665-SUM(G668:G$668))</f>
        <v>0</v>
      </c>
      <c r="H669" s="416">
        <f>IF(H$665&gt;$A669,$A669-$A668,H$665-SUM(H668:H$668))</f>
        <v>0</v>
      </c>
      <c r="I669" s="416">
        <f>IF(I$665&gt;$A669,$A669-$A668,I$665-SUM(I668:I$668))</f>
        <v>0</v>
      </c>
      <c r="J669" s="416">
        <f>IF(J$665&gt;$A669,$A669-$A668,J$665-SUM(J668:J$668))</f>
        <v>0</v>
      </c>
      <c r="K669" s="416">
        <f>IF(K$665&gt;$A669,$A669-$A668,K$665-SUM(K668:K$668))</f>
        <v>0.5</v>
      </c>
      <c r="L669" s="416">
        <f>IF(L$665&gt;$A669,$A669-$A668,L$665-SUM(L668:L$668))</f>
        <v>0.5</v>
      </c>
      <c r="M669" s="283"/>
      <c r="N669" s="405">
        <f t="shared" si="283"/>
        <v>0</v>
      </c>
      <c r="O669" s="95">
        <f t="shared" si="283"/>
        <v>0</v>
      </c>
      <c r="P669" s="95">
        <f t="shared" si="283"/>
        <v>0</v>
      </c>
      <c r="Q669" s="95">
        <f t="shared" si="283"/>
        <v>0</v>
      </c>
      <c r="R669" s="95">
        <f t="shared" si="283"/>
        <v>0</v>
      </c>
      <c r="S669" s="95">
        <f t="shared" si="283"/>
        <v>0</v>
      </c>
      <c r="T669" s="95">
        <f t="shared" si="283"/>
        <v>0</v>
      </c>
      <c r="U669" s="95">
        <f t="shared" si="283"/>
        <v>0</v>
      </c>
      <c r="V669" s="95">
        <f t="shared" si="283"/>
        <v>0.39</v>
      </c>
      <c r="W669" s="95">
        <f t="shared" si="283"/>
        <v>0.39</v>
      </c>
      <c r="X669" s="283"/>
    </row>
    <row r="670" spans="1:24" s="8" customFormat="1" outlineLevel="2">
      <c r="A670" s="416">
        <f>D$53</f>
        <v>2</v>
      </c>
      <c r="B670" s="416">
        <f>B$53</f>
        <v>0.68</v>
      </c>
      <c r="C670" s="411">
        <f>IF(C$665&gt;$A670,$A670-$A669,C$665-SUM(C$668:C669))</f>
        <v>0</v>
      </c>
      <c r="D670" s="416">
        <f>IF(D$665&gt;$A670,$A670-$A669,D$665-SUM(D$668:D669))</f>
        <v>0</v>
      </c>
      <c r="E670" s="416">
        <f>IF(E$665&gt;$A670,$A670-$A669,E$665-SUM(E$668:E669))</f>
        <v>0</v>
      </c>
      <c r="F670" s="416">
        <f>IF(F$665&gt;$A670,$A670-$A669,F$665-SUM(F$668:F669))</f>
        <v>0</v>
      </c>
      <c r="G670" s="416">
        <f>IF(G$665&gt;$A670,$A670-$A669,G$665-SUM(G$668:G669))</f>
        <v>0</v>
      </c>
      <c r="H670" s="416">
        <f>IF(H$665&gt;$A670,$A670-$A669,H$665-SUM(H$668:H669))</f>
        <v>0</v>
      </c>
      <c r="I670" s="416">
        <f>IF(I$665&gt;$A670,$A670-$A669,I$665-SUM(I$668:I669))</f>
        <v>0</v>
      </c>
      <c r="J670" s="416">
        <f>IF(J$665&gt;$A670,$A670-$A669,J$665-SUM(J$668:J669))</f>
        <v>0</v>
      </c>
      <c r="K670" s="416">
        <f>IF(K$665&gt;$A670,$A670-$A669,K$665-SUM(K$668:K669))</f>
        <v>1</v>
      </c>
      <c r="L670" s="416">
        <f>IF(L$665&gt;$A670,$A670-$A669,L$665-SUM(L$668:L669))</f>
        <v>1</v>
      </c>
      <c r="M670" s="283"/>
      <c r="N670" s="405">
        <f t="shared" si="283"/>
        <v>0</v>
      </c>
      <c r="O670" s="95">
        <f t="shared" si="283"/>
        <v>0</v>
      </c>
      <c r="P670" s="95">
        <f t="shared" si="283"/>
        <v>0</v>
      </c>
      <c r="Q670" s="95">
        <f t="shared" si="283"/>
        <v>0</v>
      </c>
      <c r="R670" s="95">
        <f t="shared" si="283"/>
        <v>0</v>
      </c>
      <c r="S670" s="95">
        <f t="shared" si="283"/>
        <v>0</v>
      </c>
      <c r="T670" s="95">
        <f t="shared" si="283"/>
        <v>0</v>
      </c>
      <c r="U670" s="95">
        <f t="shared" si="283"/>
        <v>0</v>
      </c>
      <c r="V670" s="95">
        <f t="shared" si="283"/>
        <v>0.68</v>
      </c>
      <c r="W670" s="95">
        <f t="shared" si="283"/>
        <v>0.68</v>
      </c>
      <c r="X670" s="283"/>
    </row>
    <row r="671" spans="1:24" s="8" customFormat="1" outlineLevel="2">
      <c r="A671" s="416">
        <f>D$54</f>
        <v>5</v>
      </c>
      <c r="B671" s="416">
        <f>B$54</f>
        <v>0.45</v>
      </c>
      <c r="C671" s="411">
        <f>IF(C$665&gt;$A671,$A671-$A670,C$665-SUM(C$668:C670))</f>
        <v>0</v>
      </c>
      <c r="D671" s="416">
        <f>IF(D$665&gt;$A671,$A671-$A670,D$665-SUM(D$668:D670))</f>
        <v>0</v>
      </c>
      <c r="E671" s="416">
        <f>IF(E$665&gt;$A671,$A671-$A670,E$665-SUM(E$668:E670))</f>
        <v>0</v>
      </c>
      <c r="F671" s="416">
        <f>IF(F$665&gt;$A671,$A671-$A670,F$665-SUM(F$668:F670))</f>
        <v>0</v>
      </c>
      <c r="G671" s="416">
        <f>IF(G$665&gt;$A671,$A671-$A670,G$665-SUM(G$668:G670))</f>
        <v>0</v>
      </c>
      <c r="H671" s="416">
        <f>IF(H$665&gt;$A671,$A671-$A670,H$665-SUM(H$668:H670))</f>
        <v>0</v>
      </c>
      <c r="I671" s="416">
        <f>IF(I$665&gt;$A671,$A671-$A670,I$665-SUM(I$668:I670))</f>
        <v>0</v>
      </c>
      <c r="J671" s="416">
        <f>IF(J$665&gt;$A671,$A671-$A670,J$665-SUM(J$668:J670))</f>
        <v>0</v>
      </c>
      <c r="K671" s="416">
        <f>IF(K$665&gt;$A671,$A671-$A670,K$665-SUM(K$668:K670))</f>
        <v>3</v>
      </c>
      <c r="L671" s="416">
        <f>IF(L$665&gt;$A671,$A671-$A670,L$665-SUM(L$668:L670))</f>
        <v>3</v>
      </c>
      <c r="M671" s="283"/>
      <c r="N671" s="405">
        <f t="shared" si="283"/>
        <v>0</v>
      </c>
      <c r="O671" s="95">
        <f t="shared" si="283"/>
        <v>0</v>
      </c>
      <c r="P671" s="95">
        <f t="shared" si="283"/>
        <v>0</v>
      </c>
      <c r="Q671" s="95">
        <f t="shared" si="283"/>
        <v>0</v>
      </c>
      <c r="R671" s="95">
        <f t="shared" si="283"/>
        <v>0</v>
      </c>
      <c r="S671" s="95">
        <f t="shared" si="283"/>
        <v>0</v>
      </c>
      <c r="T671" s="95">
        <f t="shared" si="283"/>
        <v>0</v>
      </c>
      <c r="U671" s="95">
        <f t="shared" si="283"/>
        <v>0</v>
      </c>
      <c r="V671" s="95">
        <f t="shared" si="283"/>
        <v>1.35</v>
      </c>
      <c r="W671" s="95">
        <f t="shared" si="283"/>
        <v>1.35</v>
      </c>
      <c r="X671" s="283"/>
    </row>
    <row r="672" spans="1:24" s="8" customFormat="1" outlineLevel="2">
      <c r="A672" s="416">
        <f>D$55</f>
        <v>10</v>
      </c>
      <c r="B672" s="416">
        <f>B$55</f>
        <v>0.42</v>
      </c>
      <c r="C672" s="411">
        <f>IF(C$665&gt;$A672,$A672-$A671,C$665-SUM(C$668:C671))</f>
        <v>0</v>
      </c>
      <c r="D672" s="416">
        <f>IF(D$665&gt;$A672,$A672-$A671,D$665-SUM(D$668:D671))</f>
        <v>0</v>
      </c>
      <c r="E672" s="416">
        <f>IF(E$665&gt;$A672,$A672-$A671,E$665-SUM(E$668:E671))</f>
        <v>0</v>
      </c>
      <c r="F672" s="416">
        <f>IF(F$665&gt;$A672,$A672-$A671,F$665-SUM(F$668:F671))</f>
        <v>0</v>
      </c>
      <c r="G672" s="416">
        <f>IF(G$665&gt;$A672,$A672-$A671,G$665-SUM(G$668:G671))</f>
        <v>0</v>
      </c>
      <c r="H672" s="416">
        <f>IF(H$665&gt;$A672,$A672-$A671,H$665-SUM(H$668:H671))</f>
        <v>0</v>
      </c>
      <c r="I672" s="416">
        <f>IF(I$665&gt;$A672,$A672-$A671,I$665-SUM(I$668:I671))</f>
        <v>0</v>
      </c>
      <c r="J672" s="416">
        <f>IF(J$665&gt;$A672,$A672-$A671,J$665-SUM(J$668:J671))</f>
        <v>0</v>
      </c>
      <c r="K672" s="416">
        <f>IF(K$665&gt;$A672,$A672-$A671,K$665-SUM(K$668:K671))</f>
        <v>5</v>
      </c>
      <c r="L672" s="416">
        <f>IF(L$665&gt;$A672,$A672-$A671,L$665-SUM(L$668:L671))</f>
        <v>5</v>
      </c>
      <c r="M672" s="283"/>
      <c r="N672" s="405">
        <f t="shared" si="283"/>
        <v>0</v>
      </c>
      <c r="O672" s="95">
        <f t="shared" si="283"/>
        <v>0</v>
      </c>
      <c r="P672" s="95">
        <f t="shared" si="283"/>
        <v>0</v>
      </c>
      <c r="Q672" s="95">
        <f t="shared" si="283"/>
        <v>0</v>
      </c>
      <c r="R672" s="95">
        <f t="shared" si="283"/>
        <v>0</v>
      </c>
      <c r="S672" s="95">
        <f t="shared" si="283"/>
        <v>0</v>
      </c>
      <c r="T672" s="95">
        <f t="shared" si="283"/>
        <v>0</v>
      </c>
      <c r="U672" s="95">
        <f t="shared" si="283"/>
        <v>0</v>
      </c>
      <c r="V672" s="95">
        <f t="shared" si="283"/>
        <v>2.1</v>
      </c>
      <c r="W672" s="95">
        <f t="shared" si="283"/>
        <v>2.1</v>
      </c>
      <c r="X672" s="283"/>
    </row>
    <row r="673" spans="1:24" s="8" customFormat="1" outlineLevel="2">
      <c r="A673" s="416">
        <f>D$56</f>
        <v>20</v>
      </c>
      <c r="B673" s="416">
        <f>B$56</f>
        <v>0.22</v>
      </c>
      <c r="C673" s="411">
        <f>IF(C$665&gt;$A673,$A673-$A672,C$665-SUM(C$668:C672))</f>
        <v>0</v>
      </c>
      <c r="D673" s="416">
        <f>IF(D$665&gt;$A673,$A673-$A672,D$665-SUM(D$668:D672))</f>
        <v>0</v>
      </c>
      <c r="E673" s="416">
        <f>IF(E$665&gt;$A673,$A673-$A672,E$665-SUM(E$668:E672))</f>
        <v>0</v>
      </c>
      <c r="F673" s="416">
        <f>IF(F$665&gt;$A673,$A673-$A672,F$665-SUM(F$668:F672))</f>
        <v>0</v>
      </c>
      <c r="G673" s="416">
        <f>IF(G$665&gt;$A673,$A673-$A672,G$665-SUM(G$668:G672))</f>
        <v>0</v>
      </c>
      <c r="H673" s="416">
        <f>IF(H$665&gt;$A673,$A673-$A672,H$665-SUM(H$668:H672))</f>
        <v>0</v>
      </c>
      <c r="I673" s="416">
        <f>IF(I$665&gt;$A673,$A673-$A672,I$665-SUM(I$668:I672))</f>
        <v>0</v>
      </c>
      <c r="J673" s="416">
        <f>IF(J$665&gt;$A673,$A673-$A672,J$665-SUM(J$668:J672))</f>
        <v>0</v>
      </c>
      <c r="K673" s="416">
        <f>IF(K$665&gt;$A673,$A673-$A672,K$665-SUM(K$668:K672))</f>
        <v>10</v>
      </c>
      <c r="L673" s="416">
        <f>IF(L$665&gt;$A673,$A673-$A672,L$665-SUM(L$668:L672))</f>
        <v>10</v>
      </c>
      <c r="M673" s="283"/>
      <c r="N673" s="405">
        <f t="shared" si="283"/>
        <v>0</v>
      </c>
      <c r="O673" s="95">
        <f t="shared" si="283"/>
        <v>0</v>
      </c>
      <c r="P673" s="95">
        <f t="shared" si="283"/>
        <v>0</v>
      </c>
      <c r="Q673" s="95">
        <f t="shared" si="283"/>
        <v>0</v>
      </c>
      <c r="R673" s="95">
        <f t="shared" si="283"/>
        <v>0</v>
      </c>
      <c r="S673" s="95">
        <f t="shared" si="283"/>
        <v>0</v>
      </c>
      <c r="T673" s="95">
        <f t="shared" si="283"/>
        <v>0</v>
      </c>
      <c r="U673" s="95">
        <f t="shared" si="283"/>
        <v>0</v>
      </c>
      <c r="V673" s="95">
        <f t="shared" si="283"/>
        <v>2.2000000000000002</v>
      </c>
      <c r="W673" s="95">
        <f t="shared" si="283"/>
        <v>2.2000000000000002</v>
      </c>
      <c r="X673" s="283"/>
    </row>
    <row r="674" spans="1:24" s="8" customFormat="1" outlineLevel="2">
      <c r="A674" s="416">
        <f>D$57</f>
        <v>50</v>
      </c>
      <c r="B674" s="416">
        <f>B$57</f>
        <v>0.2</v>
      </c>
      <c r="C674" s="411">
        <f>IF(C$665&gt;$A674,$A674-$A673,C$665-SUM(C$668:C673))</f>
        <v>0</v>
      </c>
      <c r="D674" s="416">
        <f>IF(D$665&gt;$A674,$A674-$A673,D$665-SUM(D$668:D673))</f>
        <v>0</v>
      </c>
      <c r="E674" s="416">
        <f>IF(E$665&gt;$A674,$A674-$A673,E$665-SUM(E$668:E673))</f>
        <v>0</v>
      </c>
      <c r="F674" s="416">
        <f>IF(F$665&gt;$A674,$A674-$A673,F$665-SUM(F$668:F673))</f>
        <v>0</v>
      </c>
      <c r="G674" s="416">
        <f>IF(G$665&gt;$A674,$A674-$A673,G$665-SUM(G$668:G673))</f>
        <v>0</v>
      </c>
      <c r="H674" s="416">
        <f>IF(H$665&gt;$A674,$A674-$A673,H$665-SUM(H$668:H673))</f>
        <v>0</v>
      </c>
      <c r="I674" s="416">
        <f>IF(I$665&gt;$A674,$A674-$A673,I$665-SUM(I$668:I673))</f>
        <v>0</v>
      </c>
      <c r="J674" s="416">
        <f>IF(J$665&gt;$A674,$A674-$A673,J$665-SUM(J$668:J673))</f>
        <v>0</v>
      </c>
      <c r="K674" s="416">
        <f>IF(K$665&gt;$A674,$A674-$A673,K$665-SUM(K$668:K673))</f>
        <v>18.5</v>
      </c>
      <c r="L674" s="416">
        <f>IF(L$665&gt;$A674,$A674-$A673,L$665-SUM(L$668:L673))</f>
        <v>30</v>
      </c>
      <c r="M674" s="283"/>
      <c r="N674" s="405">
        <f t="shared" si="283"/>
        <v>0</v>
      </c>
      <c r="O674" s="95">
        <f t="shared" si="283"/>
        <v>0</v>
      </c>
      <c r="P674" s="95">
        <f t="shared" si="283"/>
        <v>0</v>
      </c>
      <c r="Q674" s="95">
        <f t="shared" si="283"/>
        <v>0</v>
      </c>
      <c r="R674" s="95">
        <f t="shared" si="283"/>
        <v>0</v>
      </c>
      <c r="S674" s="95">
        <f t="shared" si="283"/>
        <v>0</v>
      </c>
      <c r="T674" s="95">
        <f t="shared" si="283"/>
        <v>0</v>
      </c>
      <c r="U674" s="95">
        <f t="shared" si="283"/>
        <v>0</v>
      </c>
      <c r="V674" s="95">
        <f t="shared" si="283"/>
        <v>3.7</v>
      </c>
      <c r="W674" s="95">
        <f t="shared" si="283"/>
        <v>6</v>
      </c>
      <c r="X674" s="283"/>
    </row>
    <row r="675" spans="1:24" s="8" customFormat="1" outlineLevel="2">
      <c r="A675" s="416">
        <f>D$58</f>
        <v>75</v>
      </c>
      <c r="B675" s="416">
        <f>B$58</f>
        <v>0.15</v>
      </c>
      <c r="C675" s="411">
        <f>IF(C$665&gt;$A675,$A675-$A674,C$665-SUM(C$668:C674))</f>
        <v>0</v>
      </c>
      <c r="D675" s="416">
        <f>IF(D$665&gt;$A675,$A675-$A674,D$665-SUM(D$668:D674))</f>
        <v>0</v>
      </c>
      <c r="E675" s="416">
        <f>IF(E$665&gt;$A675,$A675-$A674,E$665-SUM(E$668:E674))</f>
        <v>0</v>
      </c>
      <c r="F675" s="416">
        <f>IF(F$665&gt;$A675,$A675-$A674,F$665-SUM(F$668:F674))</f>
        <v>0</v>
      </c>
      <c r="G675" s="416">
        <f>IF(G$665&gt;$A675,$A675-$A674,G$665-SUM(G$668:G674))</f>
        <v>0</v>
      </c>
      <c r="H675" s="416">
        <f>IF(H$665&gt;$A675,$A675-$A674,H$665-SUM(H$668:H674))</f>
        <v>0</v>
      </c>
      <c r="I675" s="416">
        <f>IF(I$665&gt;$A675,$A675-$A674,I$665-SUM(I$668:I674))</f>
        <v>0</v>
      </c>
      <c r="J675" s="416">
        <f>IF(J$665&gt;$A675,$A675-$A674,J$665-SUM(J$668:J674))</f>
        <v>0</v>
      </c>
      <c r="K675" s="416">
        <f>IF(K$665&gt;$A675,$A675-$A674,K$665-SUM(K$668:K674))</f>
        <v>0</v>
      </c>
      <c r="L675" s="416">
        <f>IF(L$665&gt;$A675,$A675-$A674,L$665-SUM(L$668:L674))</f>
        <v>25</v>
      </c>
      <c r="M675" s="283"/>
      <c r="N675" s="405">
        <f t="shared" si="283"/>
        <v>0</v>
      </c>
      <c r="O675" s="95">
        <f t="shared" si="283"/>
        <v>0</v>
      </c>
      <c r="P675" s="95">
        <f t="shared" si="283"/>
        <v>0</v>
      </c>
      <c r="Q675" s="95">
        <f t="shared" si="283"/>
        <v>0</v>
      </c>
      <c r="R675" s="95">
        <f t="shared" si="283"/>
        <v>0</v>
      </c>
      <c r="S675" s="95">
        <f t="shared" si="283"/>
        <v>0</v>
      </c>
      <c r="T675" s="95">
        <f t="shared" si="283"/>
        <v>0</v>
      </c>
      <c r="U675" s="95">
        <f t="shared" si="283"/>
        <v>0</v>
      </c>
      <c r="V675" s="95">
        <f t="shared" si="283"/>
        <v>0</v>
      </c>
      <c r="W675" s="95">
        <f t="shared" si="283"/>
        <v>3.75</v>
      </c>
      <c r="X675" s="283"/>
    </row>
    <row r="676" spans="1:24" s="8" customFormat="1" outlineLevel="2">
      <c r="A676" s="416">
        <f>D$59</f>
        <v>9999</v>
      </c>
      <c r="B676" s="416">
        <f>B$59</f>
        <v>0.1</v>
      </c>
      <c r="C676" s="411">
        <f>IF(C$665&gt;$A676,$A676-$A675,C$665-SUM(C$668:C675))</f>
        <v>0</v>
      </c>
      <c r="D676" s="416">
        <f>IF(D$665&gt;$A676,$A676-$A675,D$665-SUM(D$668:D675))</f>
        <v>0</v>
      </c>
      <c r="E676" s="416">
        <f>IF(E$665&gt;$A676,$A676-$A675,E$665-SUM(E$668:E675))</f>
        <v>0</v>
      </c>
      <c r="F676" s="416">
        <f>IF(F$665&gt;$A676,$A676-$A675,F$665-SUM(F$668:F675))</f>
        <v>0</v>
      </c>
      <c r="G676" s="416">
        <f>IF(G$665&gt;$A676,$A676-$A675,G$665-SUM(G$668:G675))</f>
        <v>0</v>
      </c>
      <c r="H676" s="416">
        <f>IF(H$665&gt;$A676,$A676-$A675,H$665-SUM(H$668:H675))</f>
        <v>0</v>
      </c>
      <c r="I676" s="416">
        <f>IF(I$665&gt;$A676,$A676-$A675,I$665-SUM(I$668:I675))</f>
        <v>0</v>
      </c>
      <c r="J676" s="416">
        <f>IF(J$665&gt;$A676,$A676-$A675,J$665-SUM(J$668:J675))</f>
        <v>0</v>
      </c>
      <c r="K676" s="416">
        <f>IF(K$665&gt;$A676,$A676-$A675,K$665-SUM(K$668:K675))</f>
        <v>0</v>
      </c>
      <c r="L676" s="416">
        <f>IF(L$665&gt;$A676,$A676-$A675,L$665-SUM(L$668:L675))</f>
        <v>1.9000000000000057</v>
      </c>
      <c r="M676" s="283"/>
      <c r="N676" s="405">
        <f t="shared" si="283"/>
        <v>0</v>
      </c>
      <c r="O676" s="95">
        <f t="shared" si="283"/>
        <v>0</v>
      </c>
      <c r="P676" s="95">
        <f t="shared" si="283"/>
        <v>0</v>
      </c>
      <c r="Q676" s="95">
        <f t="shared" si="283"/>
        <v>0</v>
      </c>
      <c r="R676" s="95">
        <f t="shared" si="283"/>
        <v>0</v>
      </c>
      <c r="S676" s="95">
        <f t="shared" si="283"/>
        <v>0</v>
      </c>
      <c r="T676" s="95">
        <f t="shared" si="283"/>
        <v>0</v>
      </c>
      <c r="U676" s="95">
        <f t="shared" si="283"/>
        <v>0</v>
      </c>
      <c r="V676" s="95">
        <f t="shared" si="283"/>
        <v>0</v>
      </c>
      <c r="W676" s="95">
        <f t="shared" si="283"/>
        <v>0.19000000000000059</v>
      </c>
      <c r="X676" s="283"/>
    </row>
    <row r="677" spans="1:24" s="8" customFormat="1" outlineLevel="1">
      <c r="A677" s="404"/>
      <c r="B677" s="417" t="str">
        <f>CONCATENATE(B664," Total")</f>
        <v>Vivo Total</v>
      </c>
      <c r="C677" s="418">
        <f>SUM(C668:C676)</f>
        <v>0</v>
      </c>
      <c r="D677" s="419">
        <f t="shared" ref="D677:L677" si="284">SUM(D668:D676)</f>
        <v>0</v>
      </c>
      <c r="E677" s="419">
        <f t="shared" si="284"/>
        <v>0</v>
      </c>
      <c r="F677" s="419">
        <f t="shared" si="284"/>
        <v>0</v>
      </c>
      <c r="G677" s="419">
        <f t="shared" si="284"/>
        <v>0</v>
      </c>
      <c r="H677" s="419">
        <f t="shared" si="284"/>
        <v>0</v>
      </c>
      <c r="I677" s="419">
        <f t="shared" si="284"/>
        <v>0</v>
      </c>
      <c r="J677" s="419">
        <f t="shared" si="284"/>
        <v>0</v>
      </c>
      <c r="K677" s="419">
        <f t="shared" si="284"/>
        <v>38.5</v>
      </c>
      <c r="L677" s="419">
        <f t="shared" si="284"/>
        <v>76.900000000000006</v>
      </c>
      <c r="M677" s="283"/>
      <c r="N677" s="420">
        <f>SUM(N668:N676)</f>
        <v>0</v>
      </c>
      <c r="O677" s="420">
        <f t="shared" ref="O677:W677" si="285">SUM(O668:O676)</f>
        <v>0</v>
      </c>
      <c r="P677" s="420">
        <f t="shared" si="285"/>
        <v>0</v>
      </c>
      <c r="Q677" s="420">
        <f t="shared" si="285"/>
        <v>0</v>
      </c>
      <c r="R677" s="420">
        <f t="shared" si="285"/>
        <v>0</v>
      </c>
      <c r="S677" s="420">
        <f t="shared" si="285"/>
        <v>0</v>
      </c>
      <c r="T677" s="420">
        <f t="shared" si="285"/>
        <v>0</v>
      </c>
      <c r="U677" s="420">
        <f t="shared" si="285"/>
        <v>0</v>
      </c>
      <c r="V677" s="420">
        <f t="shared" si="285"/>
        <v>10.91</v>
      </c>
      <c r="W677" s="420">
        <f t="shared" si="285"/>
        <v>17.150000000000002</v>
      </c>
      <c r="X677" s="283"/>
    </row>
    <row r="678" spans="1:24" s="8" customFormat="1" outlineLevel="1">
      <c r="B678" s="421" t="s">
        <v>778</v>
      </c>
      <c r="C678" s="422">
        <f t="shared" ref="C678:L678" si="286">C677-C665</f>
        <v>0</v>
      </c>
      <c r="D678" s="423">
        <f t="shared" si="286"/>
        <v>0</v>
      </c>
      <c r="E678" s="423">
        <f t="shared" si="286"/>
        <v>0</v>
      </c>
      <c r="F678" s="423">
        <f t="shared" si="286"/>
        <v>0</v>
      </c>
      <c r="G678" s="423">
        <f t="shared" si="286"/>
        <v>0</v>
      </c>
      <c r="H678" s="423">
        <f t="shared" si="286"/>
        <v>0</v>
      </c>
      <c r="I678" s="423">
        <f t="shared" si="286"/>
        <v>0</v>
      </c>
      <c r="J678" s="423">
        <f t="shared" si="286"/>
        <v>0</v>
      </c>
      <c r="K678" s="423">
        <f t="shared" si="286"/>
        <v>0</v>
      </c>
      <c r="L678" s="423">
        <f t="shared" si="286"/>
        <v>0</v>
      </c>
      <c r="M678" s="283"/>
      <c r="N678" s="283"/>
      <c r="O678" s="283"/>
      <c r="P678" s="283"/>
      <c r="Q678" s="283"/>
      <c r="R678" s="283"/>
      <c r="S678" s="283"/>
      <c r="T678" s="283"/>
      <c r="U678" s="283"/>
      <c r="V678" s="283"/>
      <c r="W678" s="283"/>
      <c r="X678" s="283"/>
    </row>
    <row r="679" spans="1:24" s="8" customFormat="1" outlineLevel="1">
      <c r="M679" s="283"/>
      <c r="X679" s="283"/>
    </row>
    <row r="680" spans="1:24" s="8" customFormat="1" outlineLevel="1" collapsed="1">
      <c r="A680" s="8">
        <f>A664+1</f>
        <v>32</v>
      </c>
      <c r="B680" s="424" t="str">
        <f>A171</f>
        <v>White Box</v>
      </c>
      <c r="C680" s="80">
        <v>2007</v>
      </c>
      <c r="D680" s="66">
        <f>C680+1</f>
        <v>2008</v>
      </c>
      <c r="E680" s="66">
        <f t="shared" ref="E680:L680" si="287">D680+1</f>
        <v>2009</v>
      </c>
      <c r="F680" s="66">
        <f t="shared" si="287"/>
        <v>2010</v>
      </c>
      <c r="G680" s="66">
        <f t="shared" si="287"/>
        <v>2011</v>
      </c>
      <c r="H680" s="66">
        <f t="shared" si="287"/>
        <v>2012</v>
      </c>
      <c r="I680" s="66">
        <f t="shared" si="287"/>
        <v>2013</v>
      </c>
      <c r="J680" s="66">
        <f t="shared" si="287"/>
        <v>2014</v>
      </c>
      <c r="K680" s="66">
        <f t="shared" si="287"/>
        <v>2015</v>
      </c>
      <c r="L680" s="66">
        <f t="shared" si="287"/>
        <v>2016</v>
      </c>
      <c r="M680" s="283"/>
      <c r="N680" s="168">
        <f t="shared" ref="N680:W680" si="288">C680</f>
        <v>2007</v>
      </c>
      <c r="O680" s="66">
        <f t="shared" si="288"/>
        <v>2008</v>
      </c>
      <c r="P680" s="66">
        <f t="shared" si="288"/>
        <v>2009</v>
      </c>
      <c r="Q680" s="66">
        <f t="shared" si="288"/>
        <v>2010</v>
      </c>
      <c r="R680" s="66">
        <f t="shared" si="288"/>
        <v>2011</v>
      </c>
      <c r="S680" s="66">
        <f t="shared" si="288"/>
        <v>2012</v>
      </c>
      <c r="T680" s="66">
        <f t="shared" si="288"/>
        <v>2013</v>
      </c>
      <c r="U680" s="66">
        <f t="shared" si="288"/>
        <v>2014</v>
      </c>
      <c r="V680" s="66">
        <f t="shared" si="288"/>
        <v>2015</v>
      </c>
      <c r="W680" s="66">
        <f t="shared" si="288"/>
        <v>2016</v>
      </c>
      <c r="X680" s="283"/>
    </row>
    <row r="681" spans="1:24" s="8" customFormat="1" outlineLevel="2">
      <c r="B681" s="8" t="s">
        <v>1348</v>
      </c>
      <c r="C681" s="411">
        <f t="shared" ref="C681:L681" si="289">VLOOKUP($B680,$A$140:$K$175,C$183+1,FALSE)</f>
        <v>30.6</v>
      </c>
      <c r="D681" s="412">
        <f t="shared" si="289"/>
        <v>50.5</v>
      </c>
      <c r="E681" s="412">
        <f t="shared" si="289"/>
        <v>120</v>
      </c>
      <c r="F681" s="412">
        <f t="shared" si="289"/>
        <v>142.5</v>
      </c>
      <c r="G681" s="412">
        <f t="shared" si="289"/>
        <v>131.49417516096744</v>
      </c>
      <c r="H681" s="412">
        <f t="shared" si="289"/>
        <v>114.05302862827928</v>
      </c>
      <c r="I681" s="412">
        <f t="shared" si="289"/>
        <v>53.628722290213076</v>
      </c>
      <c r="J681" s="412">
        <f t="shared" si="289"/>
        <v>81.185727921986114</v>
      </c>
      <c r="K681" s="412">
        <f t="shared" si="289"/>
        <v>0</v>
      </c>
      <c r="L681" s="412">
        <f t="shared" si="289"/>
        <v>0</v>
      </c>
      <c r="M681" s="283"/>
      <c r="N681" s="283"/>
      <c r="X681" s="283"/>
    </row>
    <row r="682" spans="1:24" s="8" customFormat="1" outlineLevel="2">
      <c r="C682" s="413"/>
      <c r="D682" s="414"/>
      <c r="E682" s="414"/>
      <c r="F682" s="414"/>
      <c r="G682" s="414"/>
      <c r="H682" s="414"/>
      <c r="I682" s="414"/>
      <c r="J682" s="414"/>
      <c r="K682" s="414"/>
      <c r="L682" s="414"/>
      <c r="M682" s="283"/>
      <c r="N682" s="283"/>
      <c r="X682" s="283"/>
    </row>
    <row r="683" spans="1:24" s="8" customFormat="1" outlineLevel="2">
      <c r="A683" s="66" t="s">
        <v>1349</v>
      </c>
      <c r="B683" s="66" t="s">
        <v>1350</v>
      </c>
      <c r="C683" s="415"/>
      <c r="F683" s="9"/>
      <c r="M683" s="283"/>
      <c r="N683" s="283"/>
      <c r="X683" s="283"/>
    </row>
    <row r="684" spans="1:24" s="8" customFormat="1" outlineLevel="2">
      <c r="A684" s="416">
        <f>D$51</f>
        <v>0.5</v>
      </c>
      <c r="B684" s="416">
        <f>B$51</f>
        <v>0.98</v>
      </c>
      <c r="C684" s="411">
        <f>IF(C$681&gt;$A684,$A684,C$681)</f>
        <v>0.5</v>
      </c>
      <c r="D684" s="416">
        <f t="shared" ref="D684:L684" si="290">IF(D$888&gt;$A684,$A684,D$888)</f>
        <v>0</v>
      </c>
      <c r="E684" s="416">
        <f t="shared" si="290"/>
        <v>0</v>
      </c>
      <c r="F684" s="416">
        <f t="shared" si="290"/>
        <v>0</v>
      </c>
      <c r="G684" s="416">
        <f t="shared" si="290"/>
        <v>0</v>
      </c>
      <c r="H684" s="416">
        <f t="shared" si="290"/>
        <v>0</v>
      </c>
      <c r="I684" s="416">
        <f t="shared" si="290"/>
        <v>0</v>
      </c>
      <c r="J684" s="416">
        <f t="shared" si="290"/>
        <v>0</v>
      </c>
      <c r="K684" s="416">
        <f t="shared" si="290"/>
        <v>0</v>
      </c>
      <c r="L684" s="416">
        <f t="shared" si="290"/>
        <v>0</v>
      </c>
      <c r="M684" s="283"/>
      <c r="N684" s="405">
        <f t="shared" ref="N684:W692" si="291">C684*$B684</f>
        <v>0.49</v>
      </c>
      <c r="O684" s="95">
        <f t="shared" si="291"/>
        <v>0</v>
      </c>
      <c r="P684" s="95">
        <f t="shared" si="291"/>
        <v>0</v>
      </c>
      <c r="Q684" s="95">
        <f t="shared" si="291"/>
        <v>0</v>
      </c>
      <c r="R684" s="95">
        <f t="shared" si="291"/>
        <v>0</v>
      </c>
      <c r="S684" s="95">
        <f t="shared" si="291"/>
        <v>0</v>
      </c>
      <c r="T684" s="95">
        <f t="shared" si="291"/>
        <v>0</v>
      </c>
      <c r="U684" s="95">
        <f t="shared" si="291"/>
        <v>0</v>
      </c>
      <c r="V684" s="95">
        <f t="shared" si="291"/>
        <v>0</v>
      </c>
      <c r="W684" s="95">
        <f t="shared" si="291"/>
        <v>0</v>
      </c>
      <c r="X684" s="283"/>
    </row>
    <row r="685" spans="1:24" s="8" customFormat="1" outlineLevel="2">
      <c r="A685" s="416">
        <f>D$52</f>
        <v>1</v>
      </c>
      <c r="B685" s="416">
        <f>B$52</f>
        <v>0.78</v>
      </c>
      <c r="C685" s="411">
        <f>IF(C$681&gt;$A685,$A685-$A684,C$681-SUM(C684:C$684))</f>
        <v>0.5</v>
      </c>
      <c r="D685" s="416">
        <f>IF(D$681&gt;$A685,$A685-$A684,D$681-SUM(D684:D$684))</f>
        <v>0.5</v>
      </c>
      <c r="E685" s="416">
        <f>IF(E$681&gt;$A685,$A685-$A684,E$681-SUM(E684:E$684))</f>
        <v>0.5</v>
      </c>
      <c r="F685" s="416">
        <f>IF(F$681&gt;$A685,$A685-$A684,F$681-SUM(F684:F$684))</f>
        <v>0.5</v>
      </c>
      <c r="G685" s="416">
        <f>IF(G$681&gt;$A685,$A685-$A684,G$681-SUM(G684:G$684))</f>
        <v>0.5</v>
      </c>
      <c r="H685" s="416">
        <f>IF(H$681&gt;$A685,$A685-$A684,H$681-SUM(H684:H$684))</f>
        <v>0.5</v>
      </c>
      <c r="I685" s="416">
        <f>IF(I$681&gt;$A685,$A685-$A684,I$681-SUM(I684:I$684))</f>
        <v>0.5</v>
      </c>
      <c r="J685" s="416">
        <f>IF(J$681&gt;$A685,$A685-$A684,J$681-SUM(J684:J$684))</f>
        <v>0.5</v>
      </c>
      <c r="K685" s="416">
        <f>IF(K$681&gt;$A685,$A685-$A684,K$681-SUM(K684:K$684))</f>
        <v>0</v>
      </c>
      <c r="L685" s="416">
        <f>IF(L$681&gt;$A685,$A685-$A684,L$681-SUM(L684:L$684))</f>
        <v>0</v>
      </c>
      <c r="M685" s="283"/>
      <c r="N685" s="405">
        <f t="shared" si="291"/>
        <v>0.39</v>
      </c>
      <c r="O685" s="95">
        <f t="shared" si="291"/>
        <v>0.39</v>
      </c>
      <c r="P685" s="95">
        <f t="shared" si="291"/>
        <v>0.39</v>
      </c>
      <c r="Q685" s="95">
        <f t="shared" si="291"/>
        <v>0.39</v>
      </c>
      <c r="R685" s="95">
        <f t="shared" si="291"/>
        <v>0.39</v>
      </c>
      <c r="S685" s="95">
        <f t="shared" si="291"/>
        <v>0.39</v>
      </c>
      <c r="T685" s="95">
        <f t="shared" si="291"/>
        <v>0.39</v>
      </c>
      <c r="U685" s="95">
        <f t="shared" si="291"/>
        <v>0.39</v>
      </c>
      <c r="V685" s="95">
        <f t="shared" si="291"/>
        <v>0</v>
      </c>
      <c r="W685" s="95">
        <f t="shared" si="291"/>
        <v>0</v>
      </c>
      <c r="X685" s="283"/>
    </row>
    <row r="686" spans="1:24" s="8" customFormat="1" outlineLevel="2">
      <c r="A686" s="416">
        <f>D$53</f>
        <v>2</v>
      </c>
      <c r="B686" s="416">
        <f>B$53</f>
        <v>0.68</v>
      </c>
      <c r="C686" s="411">
        <f>IF(C$681&gt;$A686,$A686-$A685,C$681-SUM(C685:C$685))</f>
        <v>1</v>
      </c>
      <c r="D686" s="416">
        <f>IF(D$681&gt;$A686,$A686-$A685,D$681-SUM(D685:D$685))</f>
        <v>1</v>
      </c>
      <c r="E686" s="416">
        <f>IF(E$681&gt;$A686,$A686-$A685,E$681-SUM(E685:E$685))</f>
        <v>1</v>
      </c>
      <c r="F686" s="416">
        <f>IF(F$681&gt;$A686,$A686-$A685,F$681-SUM(F685:F$685))</f>
        <v>1</v>
      </c>
      <c r="G686" s="416">
        <f>IF(G$681&gt;$A686,$A686-$A685,G$681-SUM(G685:G$685))</f>
        <v>1</v>
      </c>
      <c r="H686" s="416">
        <f>IF(H$681&gt;$A686,$A686-$A685,H$681-SUM(H685:H$685))</f>
        <v>1</v>
      </c>
      <c r="I686" s="416">
        <f>IF(I$681&gt;$A686,$A686-$A685,I$681-SUM(I685:I$685))</f>
        <v>1</v>
      </c>
      <c r="J686" s="416">
        <f>IF(J$681&gt;$A686,$A686-$A685,J$681-SUM(J685:J$685))</f>
        <v>1</v>
      </c>
      <c r="K686" s="416">
        <f>IF(K$681&gt;$A686,$A686-$A685,K$681-SUM(K685:K$685))</f>
        <v>0</v>
      </c>
      <c r="L686" s="416">
        <f>IF(L$681&gt;$A686,$A686-$A685,L$681-SUM(L685:L$685))</f>
        <v>0</v>
      </c>
      <c r="M686" s="283"/>
      <c r="N686" s="405">
        <f t="shared" si="291"/>
        <v>0.68</v>
      </c>
      <c r="O686" s="95">
        <f t="shared" si="291"/>
        <v>0.68</v>
      </c>
      <c r="P686" s="95">
        <f t="shared" si="291"/>
        <v>0.68</v>
      </c>
      <c r="Q686" s="95">
        <f t="shared" si="291"/>
        <v>0.68</v>
      </c>
      <c r="R686" s="95">
        <f t="shared" si="291"/>
        <v>0.68</v>
      </c>
      <c r="S686" s="95">
        <f t="shared" si="291"/>
        <v>0.68</v>
      </c>
      <c r="T686" s="95">
        <f t="shared" si="291"/>
        <v>0.68</v>
      </c>
      <c r="U686" s="95">
        <f t="shared" si="291"/>
        <v>0.68</v>
      </c>
      <c r="V686" s="95">
        <f t="shared" si="291"/>
        <v>0</v>
      </c>
      <c r="W686" s="95">
        <f t="shared" si="291"/>
        <v>0</v>
      </c>
      <c r="X686" s="283"/>
    </row>
    <row r="687" spans="1:24" s="8" customFormat="1" outlineLevel="2">
      <c r="A687" s="416">
        <f>D$54</f>
        <v>5</v>
      </c>
      <c r="B687" s="416">
        <f>B$54</f>
        <v>0.45</v>
      </c>
      <c r="C687" s="411">
        <f>IF(C$681&gt;$A687,$A687-$A686,C$681-SUM(C$685:C686))</f>
        <v>3</v>
      </c>
      <c r="D687" s="416">
        <f>IF(D$681&gt;$A687,$A687-$A686,D$681-SUM(D$685:D686))</f>
        <v>3</v>
      </c>
      <c r="E687" s="416">
        <f>IF(E$681&gt;$A687,$A687-$A686,E$681-SUM(E$685:E686))</f>
        <v>3</v>
      </c>
      <c r="F687" s="416">
        <f>IF(F$681&gt;$A687,$A687-$A686,F$681-SUM(F$685:F686))</f>
        <v>3</v>
      </c>
      <c r="G687" s="416">
        <f>IF(G$681&gt;$A687,$A687-$A686,G$681-SUM(G$685:G686))</f>
        <v>3</v>
      </c>
      <c r="H687" s="416">
        <f>IF(H$681&gt;$A687,$A687-$A686,H$681-SUM(H$685:H686))</f>
        <v>3</v>
      </c>
      <c r="I687" s="416">
        <f>IF(I$681&gt;$A687,$A687-$A686,I$681-SUM(I$685:I686))</f>
        <v>3</v>
      </c>
      <c r="J687" s="416">
        <f>IF(J$681&gt;$A687,$A687-$A686,J$681-SUM(J$685:J686))</f>
        <v>3</v>
      </c>
      <c r="K687" s="416">
        <f>IF(K$681&gt;$A687,$A687-$A686,K$681-SUM(K$685:K686))</f>
        <v>0</v>
      </c>
      <c r="L687" s="416">
        <f>IF(L$681&gt;$A687,$A687-$A686,L$681-SUM(L$685:L686))</f>
        <v>0</v>
      </c>
      <c r="M687" s="283"/>
      <c r="N687" s="405">
        <f t="shared" si="291"/>
        <v>1.35</v>
      </c>
      <c r="O687" s="95">
        <f t="shared" si="291"/>
        <v>1.35</v>
      </c>
      <c r="P687" s="95">
        <f t="shared" si="291"/>
        <v>1.35</v>
      </c>
      <c r="Q687" s="95">
        <f t="shared" si="291"/>
        <v>1.35</v>
      </c>
      <c r="R687" s="95">
        <f t="shared" si="291"/>
        <v>1.35</v>
      </c>
      <c r="S687" s="95">
        <f t="shared" si="291"/>
        <v>1.35</v>
      </c>
      <c r="T687" s="95">
        <f t="shared" si="291"/>
        <v>1.35</v>
      </c>
      <c r="U687" s="95">
        <f t="shared" si="291"/>
        <v>1.35</v>
      </c>
      <c r="V687" s="95">
        <f t="shared" si="291"/>
        <v>0</v>
      </c>
      <c r="W687" s="95">
        <f t="shared" si="291"/>
        <v>0</v>
      </c>
      <c r="X687" s="283"/>
    </row>
    <row r="688" spans="1:24" s="8" customFormat="1" outlineLevel="2">
      <c r="A688" s="416">
        <f>D$55</f>
        <v>10</v>
      </c>
      <c r="B688" s="416">
        <f>B$55</f>
        <v>0.42</v>
      </c>
      <c r="C688" s="411">
        <f>IF(C$681&gt;$A688,$A688-$A687,C$681-SUM(C$685:C687))</f>
        <v>5</v>
      </c>
      <c r="D688" s="416">
        <f>IF(D$681&gt;$A688,$A688-$A687,D$681-SUM(D$685:D687))</f>
        <v>5</v>
      </c>
      <c r="E688" s="416">
        <f>IF(E$681&gt;$A688,$A688-$A687,E$681-SUM(E$685:E687))</f>
        <v>5</v>
      </c>
      <c r="F688" s="416">
        <f>IF(F$681&gt;$A688,$A688-$A687,F$681-SUM(F$685:F687))</f>
        <v>5</v>
      </c>
      <c r="G688" s="416">
        <f>IF(G$681&gt;$A688,$A688-$A687,G$681-SUM(G$685:G687))</f>
        <v>5</v>
      </c>
      <c r="H688" s="416">
        <f>IF(H$681&gt;$A688,$A688-$A687,H$681-SUM(H$685:H687))</f>
        <v>5</v>
      </c>
      <c r="I688" s="416">
        <f>IF(I$681&gt;$A688,$A688-$A687,I$681-SUM(I$685:I687))</f>
        <v>5</v>
      </c>
      <c r="J688" s="416">
        <f>IF(J$681&gt;$A688,$A688-$A687,J$681-SUM(J$685:J687))</f>
        <v>5</v>
      </c>
      <c r="K688" s="416">
        <f>IF(K$681&gt;$A688,$A688-$A687,K$681-SUM(K$685:K687))</f>
        <v>0</v>
      </c>
      <c r="L688" s="416">
        <f>IF(L$681&gt;$A688,$A688-$A687,L$681-SUM(L$685:L687))</f>
        <v>0</v>
      </c>
      <c r="M688" s="283"/>
      <c r="N688" s="405">
        <f t="shared" si="291"/>
        <v>2.1</v>
      </c>
      <c r="O688" s="95">
        <f t="shared" si="291"/>
        <v>2.1</v>
      </c>
      <c r="P688" s="95">
        <f t="shared" si="291"/>
        <v>2.1</v>
      </c>
      <c r="Q688" s="95">
        <f t="shared" si="291"/>
        <v>2.1</v>
      </c>
      <c r="R688" s="95">
        <f t="shared" si="291"/>
        <v>2.1</v>
      </c>
      <c r="S688" s="95">
        <f t="shared" si="291"/>
        <v>2.1</v>
      </c>
      <c r="T688" s="95">
        <f t="shared" si="291"/>
        <v>2.1</v>
      </c>
      <c r="U688" s="95">
        <f t="shared" si="291"/>
        <v>2.1</v>
      </c>
      <c r="V688" s="95">
        <f t="shared" si="291"/>
        <v>0</v>
      </c>
      <c r="W688" s="95">
        <f t="shared" si="291"/>
        <v>0</v>
      </c>
      <c r="X688" s="283"/>
    </row>
    <row r="689" spans="1:24" s="8" customFormat="1" outlineLevel="2">
      <c r="A689" s="416">
        <f>D$56</f>
        <v>20</v>
      </c>
      <c r="B689" s="416">
        <f>B$56</f>
        <v>0.22</v>
      </c>
      <c r="C689" s="411">
        <f>IF(C$681&gt;$A689,$A689-$A688,C$681-SUM(C$685:C688))</f>
        <v>10</v>
      </c>
      <c r="D689" s="416">
        <f>IF(D$681&gt;$A689,$A689-$A688,D$681-SUM(D$685:D688))</f>
        <v>10</v>
      </c>
      <c r="E689" s="416">
        <f>IF(E$681&gt;$A689,$A689-$A688,E$681-SUM(E$685:E688))</f>
        <v>10</v>
      </c>
      <c r="F689" s="416">
        <f>IF(F$681&gt;$A689,$A689-$A688,F$681-SUM(F$685:F688))</f>
        <v>10</v>
      </c>
      <c r="G689" s="416">
        <f>IF(G$681&gt;$A689,$A689-$A688,G$681-SUM(G$685:G688))</f>
        <v>10</v>
      </c>
      <c r="H689" s="416">
        <f>IF(H$681&gt;$A689,$A689-$A688,H$681-SUM(H$685:H688))</f>
        <v>10</v>
      </c>
      <c r="I689" s="416">
        <f>IF(I$681&gt;$A689,$A689-$A688,I$681-SUM(I$685:I688))</f>
        <v>10</v>
      </c>
      <c r="J689" s="416">
        <f>IF(J$681&gt;$A689,$A689-$A688,J$681-SUM(J$685:J688))</f>
        <v>10</v>
      </c>
      <c r="K689" s="416">
        <f>IF(K$681&gt;$A689,$A689-$A688,K$681-SUM(K$685:K688))</f>
        <v>0</v>
      </c>
      <c r="L689" s="416">
        <f>IF(L$681&gt;$A689,$A689-$A688,L$681-SUM(L$685:L688))</f>
        <v>0</v>
      </c>
      <c r="M689" s="283"/>
      <c r="N689" s="405">
        <f t="shared" si="291"/>
        <v>2.2000000000000002</v>
      </c>
      <c r="O689" s="95">
        <f t="shared" si="291"/>
        <v>2.2000000000000002</v>
      </c>
      <c r="P689" s="95">
        <f t="shared" si="291"/>
        <v>2.2000000000000002</v>
      </c>
      <c r="Q689" s="95">
        <f t="shared" si="291"/>
        <v>2.2000000000000002</v>
      </c>
      <c r="R689" s="95">
        <f t="shared" si="291"/>
        <v>2.2000000000000002</v>
      </c>
      <c r="S689" s="95">
        <f t="shared" si="291"/>
        <v>2.2000000000000002</v>
      </c>
      <c r="T689" s="95">
        <f t="shared" si="291"/>
        <v>2.2000000000000002</v>
      </c>
      <c r="U689" s="95">
        <f t="shared" si="291"/>
        <v>2.2000000000000002</v>
      </c>
      <c r="V689" s="95">
        <f t="shared" si="291"/>
        <v>0</v>
      </c>
      <c r="W689" s="95">
        <f t="shared" si="291"/>
        <v>0</v>
      </c>
      <c r="X689" s="283"/>
    </row>
    <row r="690" spans="1:24" s="8" customFormat="1" outlineLevel="2">
      <c r="A690" s="416">
        <f>D$57</f>
        <v>50</v>
      </c>
      <c r="B690" s="416">
        <f>B$57</f>
        <v>0.2</v>
      </c>
      <c r="C690" s="411">
        <f>IF(C$681&gt;$A690,$A690-$A689,C$681-SUM(C$685:C689))</f>
        <v>11.100000000000001</v>
      </c>
      <c r="D690" s="416">
        <f>IF(D$681&gt;$A690,$A690-$A689,D$681-SUM(D$685:D689))</f>
        <v>30</v>
      </c>
      <c r="E690" s="416">
        <f>IF(E$681&gt;$A690,$A690-$A689,E$681-SUM(E$685:E689))</f>
        <v>30</v>
      </c>
      <c r="F690" s="416">
        <f>IF(F$681&gt;$A690,$A690-$A689,F$681-SUM(F$685:F689))</f>
        <v>30</v>
      </c>
      <c r="G690" s="416">
        <f>IF(G$681&gt;$A690,$A690-$A689,G$681-SUM(G$685:G689))</f>
        <v>30</v>
      </c>
      <c r="H690" s="416">
        <f>IF(H$681&gt;$A690,$A690-$A689,H$681-SUM(H$685:H689))</f>
        <v>30</v>
      </c>
      <c r="I690" s="416">
        <f>IF(I$681&gt;$A690,$A690-$A689,I$681-SUM(I$685:I689))</f>
        <v>30</v>
      </c>
      <c r="J690" s="416">
        <f>IF(J$681&gt;$A690,$A690-$A689,J$681-SUM(J$685:J689))</f>
        <v>30</v>
      </c>
      <c r="K690" s="416">
        <f>IF(K$681&gt;$A690,$A690-$A689,K$681-SUM(K$685:K689))</f>
        <v>0</v>
      </c>
      <c r="L690" s="416">
        <f>IF(L$681&gt;$A690,$A690-$A689,L$681-SUM(L$685:L689))</f>
        <v>0</v>
      </c>
      <c r="M690" s="283"/>
      <c r="N690" s="405">
        <f t="shared" si="291"/>
        <v>2.2200000000000002</v>
      </c>
      <c r="O690" s="95">
        <f t="shared" si="291"/>
        <v>6</v>
      </c>
      <c r="P690" s="95">
        <f t="shared" si="291"/>
        <v>6</v>
      </c>
      <c r="Q690" s="95">
        <f t="shared" si="291"/>
        <v>6</v>
      </c>
      <c r="R690" s="95">
        <f t="shared" si="291"/>
        <v>6</v>
      </c>
      <c r="S690" s="95">
        <f t="shared" si="291"/>
        <v>6</v>
      </c>
      <c r="T690" s="95">
        <f t="shared" si="291"/>
        <v>6</v>
      </c>
      <c r="U690" s="95">
        <f t="shared" si="291"/>
        <v>6</v>
      </c>
      <c r="V690" s="95">
        <f t="shared" si="291"/>
        <v>0</v>
      </c>
      <c r="W690" s="95">
        <f t="shared" si="291"/>
        <v>0</v>
      </c>
      <c r="X690" s="283"/>
    </row>
    <row r="691" spans="1:24" s="8" customFormat="1" outlineLevel="2">
      <c r="A691" s="416">
        <f>D$58</f>
        <v>75</v>
      </c>
      <c r="B691" s="416">
        <f>B$58</f>
        <v>0.15</v>
      </c>
      <c r="C691" s="411">
        <f>IF(C$681&gt;$A691,$A691-$A690,C$681-SUM(C$685:C690))</f>
        <v>0</v>
      </c>
      <c r="D691" s="416">
        <f>IF(D$681&gt;$A691,$A691-$A690,D$681-SUM(D$685:D690))</f>
        <v>1</v>
      </c>
      <c r="E691" s="416">
        <f>IF(E$681&gt;$A691,$A691-$A690,E$681-SUM(E$685:E690))</f>
        <v>25</v>
      </c>
      <c r="F691" s="416">
        <f>IF(F$681&gt;$A691,$A691-$A690,F$681-SUM(F$685:F690))</f>
        <v>25</v>
      </c>
      <c r="G691" s="416">
        <f>IF(G$681&gt;$A691,$A691-$A690,G$681-SUM(G$685:G690))</f>
        <v>25</v>
      </c>
      <c r="H691" s="416">
        <f>IF(H$681&gt;$A691,$A691-$A690,H$681-SUM(H$685:H690))</f>
        <v>25</v>
      </c>
      <c r="I691" s="416">
        <f>IF(I$681&gt;$A691,$A691-$A690,I$681-SUM(I$685:I690))</f>
        <v>4.1287222902130765</v>
      </c>
      <c r="J691" s="416">
        <f>IF(J$681&gt;$A691,$A691-$A690,J$681-SUM(J$685:J690))</f>
        <v>25</v>
      </c>
      <c r="K691" s="416">
        <f>IF(K$681&gt;$A691,$A691-$A690,K$681-SUM(K$685:K690))</f>
        <v>0</v>
      </c>
      <c r="L691" s="416">
        <f>IF(L$681&gt;$A691,$A691-$A690,L$681-SUM(L$685:L690))</f>
        <v>0</v>
      </c>
      <c r="M691" s="283"/>
      <c r="N691" s="405">
        <f t="shared" si="291"/>
        <v>0</v>
      </c>
      <c r="O691" s="95">
        <f t="shared" si="291"/>
        <v>0.15</v>
      </c>
      <c r="P691" s="95">
        <f t="shared" si="291"/>
        <v>3.75</v>
      </c>
      <c r="Q691" s="95">
        <f t="shared" si="291"/>
        <v>3.75</v>
      </c>
      <c r="R691" s="95">
        <f t="shared" si="291"/>
        <v>3.75</v>
      </c>
      <c r="S691" s="95">
        <f t="shared" si="291"/>
        <v>3.75</v>
      </c>
      <c r="T691" s="95">
        <f t="shared" si="291"/>
        <v>0.6193083435319614</v>
      </c>
      <c r="U691" s="95">
        <f t="shared" si="291"/>
        <v>3.75</v>
      </c>
      <c r="V691" s="95">
        <f t="shared" si="291"/>
        <v>0</v>
      </c>
      <c r="W691" s="95">
        <f t="shared" si="291"/>
        <v>0</v>
      </c>
      <c r="X691" s="283"/>
    </row>
    <row r="692" spans="1:24" s="8" customFormat="1" outlineLevel="2">
      <c r="A692" s="416">
        <f>D$59</f>
        <v>9999</v>
      </c>
      <c r="B692" s="416">
        <f>B$59</f>
        <v>0.1</v>
      </c>
      <c r="C692" s="411">
        <f>IF(C$681&gt;$A692,$A692-$A691,C$681-SUM(C$685:C691))</f>
        <v>0</v>
      </c>
      <c r="D692" s="416">
        <f>IF(D$681&gt;$A692,$A692-$A691,D$681-SUM(D$685:D691))</f>
        <v>0</v>
      </c>
      <c r="E692" s="416">
        <f>IF(E$681&gt;$A692,$A692-$A691,E$681-SUM(E$685:E691))</f>
        <v>45.5</v>
      </c>
      <c r="F692" s="416">
        <f>IF(F$681&gt;$A692,$A692-$A691,F$681-SUM(F$685:F691))</f>
        <v>68</v>
      </c>
      <c r="G692" s="416">
        <f>IF(G$681&gt;$A692,$A692-$A691,G$681-SUM(G$685:G691))</f>
        <v>56.994175160967444</v>
      </c>
      <c r="H692" s="416">
        <f>IF(H$681&gt;$A692,$A692-$A691,H$681-SUM(H$685:H691))</f>
        <v>39.553028628279279</v>
      </c>
      <c r="I692" s="416">
        <f>IF(I$681&gt;$A692,$A692-$A691,I$681-SUM(I$685:I691))</f>
        <v>0</v>
      </c>
      <c r="J692" s="416">
        <f>IF(J$681&gt;$A692,$A692-$A691,J$681-SUM(J$685:J691))</f>
        <v>6.6857279219861141</v>
      </c>
      <c r="K692" s="416">
        <f>IF(K$681&gt;$A692,$A692-$A691,K$681-SUM(K$685:K691))</f>
        <v>0</v>
      </c>
      <c r="L692" s="416">
        <f>IF(L$681&gt;$A692,$A692-$A691,L$681-SUM(L$685:L691))</f>
        <v>0</v>
      </c>
      <c r="M692" s="283"/>
      <c r="N692" s="405">
        <f t="shared" si="291"/>
        <v>0</v>
      </c>
      <c r="O692" s="95">
        <f t="shared" si="291"/>
        <v>0</v>
      </c>
      <c r="P692" s="95">
        <f t="shared" si="291"/>
        <v>4.55</v>
      </c>
      <c r="Q692" s="95">
        <f t="shared" si="291"/>
        <v>6.8000000000000007</v>
      </c>
      <c r="R692" s="95">
        <f t="shared" si="291"/>
        <v>5.6994175160967444</v>
      </c>
      <c r="S692" s="95">
        <f t="shared" si="291"/>
        <v>3.9553028628279279</v>
      </c>
      <c r="T692" s="95">
        <f t="shared" si="291"/>
        <v>0</v>
      </c>
      <c r="U692" s="95">
        <f t="shared" si="291"/>
        <v>0.66857279219861143</v>
      </c>
      <c r="V692" s="95">
        <f t="shared" si="291"/>
        <v>0</v>
      </c>
      <c r="W692" s="95">
        <f t="shared" si="291"/>
        <v>0</v>
      </c>
      <c r="X692" s="283"/>
    </row>
    <row r="693" spans="1:24" s="8" customFormat="1" outlineLevel="1">
      <c r="A693" s="404"/>
      <c r="B693" s="417" t="str">
        <f>CONCATENATE(B680," Total")</f>
        <v>White Box Total</v>
      </c>
      <c r="C693" s="418">
        <f>SUM(C684:C692)</f>
        <v>31.1</v>
      </c>
      <c r="D693" s="419">
        <f t="shared" ref="D693:L693" si="292">SUM(D684:D692)</f>
        <v>50.5</v>
      </c>
      <c r="E693" s="419">
        <f t="shared" si="292"/>
        <v>120</v>
      </c>
      <c r="F693" s="419">
        <f t="shared" si="292"/>
        <v>142.5</v>
      </c>
      <c r="G693" s="419">
        <f t="shared" si="292"/>
        <v>131.49417516096744</v>
      </c>
      <c r="H693" s="419">
        <f t="shared" si="292"/>
        <v>114.05302862827928</v>
      </c>
      <c r="I693" s="419">
        <f t="shared" si="292"/>
        <v>53.628722290213076</v>
      </c>
      <c r="J693" s="419">
        <f t="shared" si="292"/>
        <v>81.185727921986114</v>
      </c>
      <c r="K693" s="419">
        <f t="shared" si="292"/>
        <v>0</v>
      </c>
      <c r="L693" s="419">
        <f t="shared" si="292"/>
        <v>0</v>
      </c>
      <c r="M693" s="283"/>
      <c r="N693" s="420">
        <f>SUM(N684:N692)</f>
        <v>9.43</v>
      </c>
      <c r="O693" s="420">
        <f t="shared" ref="O693:W693" si="293">SUM(O684:O692)</f>
        <v>12.87</v>
      </c>
      <c r="P693" s="420">
        <f t="shared" si="293"/>
        <v>21.02</v>
      </c>
      <c r="Q693" s="420">
        <f t="shared" si="293"/>
        <v>23.27</v>
      </c>
      <c r="R693" s="420">
        <f t="shared" si="293"/>
        <v>22.169417516096743</v>
      </c>
      <c r="S693" s="420">
        <f t="shared" si="293"/>
        <v>20.425302862827927</v>
      </c>
      <c r="T693" s="420">
        <f t="shared" si="293"/>
        <v>13.339308343531961</v>
      </c>
      <c r="U693" s="420">
        <f t="shared" si="293"/>
        <v>17.138572792198609</v>
      </c>
      <c r="V693" s="420">
        <f t="shared" si="293"/>
        <v>0</v>
      </c>
      <c r="W693" s="420">
        <f t="shared" si="293"/>
        <v>0</v>
      </c>
      <c r="X693" s="283"/>
    </row>
    <row r="694" spans="1:24" s="8" customFormat="1" outlineLevel="1">
      <c r="B694" s="421" t="s">
        <v>778</v>
      </c>
      <c r="C694" s="422">
        <f t="shared" ref="C694:L694" si="294">C693-C681</f>
        <v>0.5</v>
      </c>
      <c r="D694" s="423">
        <f t="shared" si="294"/>
        <v>0</v>
      </c>
      <c r="E694" s="423">
        <f t="shared" si="294"/>
        <v>0</v>
      </c>
      <c r="F694" s="423">
        <f t="shared" si="294"/>
        <v>0</v>
      </c>
      <c r="G694" s="423">
        <f t="shared" si="294"/>
        <v>0</v>
      </c>
      <c r="H694" s="423">
        <f t="shared" si="294"/>
        <v>0</v>
      </c>
      <c r="I694" s="423">
        <f t="shared" si="294"/>
        <v>0</v>
      </c>
      <c r="J694" s="423">
        <f t="shared" si="294"/>
        <v>0</v>
      </c>
      <c r="K694" s="423">
        <f t="shared" si="294"/>
        <v>0</v>
      </c>
      <c r="L694" s="423">
        <f t="shared" si="294"/>
        <v>0</v>
      </c>
      <c r="M694" s="283"/>
      <c r="N694" s="283"/>
      <c r="O694" s="283"/>
      <c r="P694" s="283"/>
      <c r="Q694" s="283"/>
      <c r="R694" s="283"/>
      <c r="S694" s="283"/>
      <c r="T694" s="283"/>
      <c r="U694" s="283"/>
      <c r="V694" s="283"/>
      <c r="W694" s="283"/>
      <c r="X694" s="283"/>
    </row>
    <row r="695" spans="1:24" s="8" customFormat="1" outlineLevel="1">
      <c r="C695" s="283"/>
      <c r="M695" s="283"/>
      <c r="X695" s="283"/>
    </row>
    <row r="696" spans="1:24" s="8" customFormat="1" outlineLevel="1" collapsed="1">
      <c r="A696" s="8">
        <f>A680+1</f>
        <v>33</v>
      </c>
      <c r="B696" s="424" t="str">
        <f>A172</f>
        <v>Xiaomi</v>
      </c>
      <c r="C696" s="80">
        <v>2007</v>
      </c>
      <c r="D696" s="66">
        <f>C696+1</f>
        <v>2008</v>
      </c>
      <c r="E696" s="66">
        <f t="shared" ref="E696:L696" si="295">D696+1</f>
        <v>2009</v>
      </c>
      <c r="F696" s="66">
        <f t="shared" si="295"/>
        <v>2010</v>
      </c>
      <c r="G696" s="66">
        <f t="shared" si="295"/>
        <v>2011</v>
      </c>
      <c r="H696" s="66">
        <f t="shared" si="295"/>
        <v>2012</v>
      </c>
      <c r="I696" s="66">
        <f t="shared" si="295"/>
        <v>2013</v>
      </c>
      <c r="J696" s="66">
        <f t="shared" si="295"/>
        <v>2014</v>
      </c>
      <c r="K696" s="66">
        <f t="shared" si="295"/>
        <v>2015</v>
      </c>
      <c r="L696" s="66">
        <f t="shared" si="295"/>
        <v>2016</v>
      </c>
      <c r="M696" s="283"/>
      <c r="N696" s="168">
        <f t="shared" ref="N696:W696" si="296">C696</f>
        <v>2007</v>
      </c>
      <c r="O696" s="66">
        <f t="shared" si="296"/>
        <v>2008</v>
      </c>
      <c r="P696" s="66">
        <f t="shared" si="296"/>
        <v>2009</v>
      </c>
      <c r="Q696" s="66">
        <f t="shared" si="296"/>
        <v>2010</v>
      </c>
      <c r="R696" s="66">
        <f t="shared" si="296"/>
        <v>2011</v>
      </c>
      <c r="S696" s="66">
        <f t="shared" si="296"/>
        <v>2012</v>
      </c>
      <c r="T696" s="66">
        <f t="shared" si="296"/>
        <v>2013</v>
      </c>
      <c r="U696" s="66">
        <f t="shared" si="296"/>
        <v>2014</v>
      </c>
      <c r="V696" s="66">
        <f t="shared" si="296"/>
        <v>2015</v>
      </c>
      <c r="W696" s="66">
        <f t="shared" si="296"/>
        <v>2016</v>
      </c>
      <c r="X696" s="283"/>
    </row>
    <row r="697" spans="1:24" s="8" customFormat="1" outlineLevel="2">
      <c r="B697" s="8" t="s">
        <v>1348</v>
      </c>
      <c r="C697" s="411">
        <f t="shared" ref="C697:L697" si="297">VLOOKUP($B696,$A$140:$K$175,C$183+1,FALSE)</f>
        <v>0</v>
      </c>
      <c r="D697" s="412">
        <f t="shared" si="297"/>
        <v>0</v>
      </c>
      <c r="E697" s="412">
        <f t="shared" si="297"/>
        <v>0</v>
      </c>
      <c r="F697" s="412">
        <f t="shared" si="297"/>
        <v>0</v>
      </c>
      <c r="G697" s="412">
        <f t="shared" si="297"/>
        <v>0.4</v>
      </c>
      <c r="H697" s="412">
        <f t="shared" si="297"/>
        <v>7.2</v>
      </c>
      <c r="I697" s="412">
        <f t="shared" si="297"/>
        <v>18.7</v>
      </c>
      <c r="J697" s="412">
        <f t="shared" si="297"/>
        <v>61.1</v>
      </c>
      <c r="K697" s="412">
        <f t="shared" si="297"/>
        <v>71.7</v>
      </c>
      <c r="L697" s="412">
        <f t="shared" si="297"/>
        <v>55</v>
      </c>
      <c r="M697" s="283"/>
      <c r="N697" s="283"/>
      <c r="X697" s="283"/>
    </row>
    <row r="698" spans="1:24" s="8" customFormat="1" outlineLevel="2">
      <c r="C698" s="413"/>
      <c r="D698" s="414"/>
      <c r="E698" s="414"/>
      <c r="F698" s="414"/>
      <c r="G698" s="414"/>
      <c r="H698" s="414"/>
      <c r="I698" s="414"/>
      <c r="J698" s="414"/>
      <c r="K698" s="414"/>
      <c r="L698" s="414"/>
      <c r="M698" s="283"/>
      <c r="N698" s="283"/>
      <c r="X698" s="283"/>
    </row>
    <row r="699" spans="1:24" s="8" customFormat="1" outlineLevel="2">
      <c r="A699" s="66" t="s">
        <v>1349</v>
      </c>
      <c r="B699" s="66" t="s">
        <v>1350</v>
      </c>
      <c r="C699" s="415"/>
      <c r="F699" s="9"/>
      <c r="M699" s="283"/>
      <c r="N699" s="283"/>
      <c r="X699" s="283"/>
    </row>
    <row r="700" spans="1:24" s="8" customFormat="1" outlineLevel="2">
      <c r="A700" s="416">
        <f>D$51</f>
        <v>0.5</v>
      </c>
      <c r="B700" s="416">
        <f>B$51</f>
        <v>0.98</v>
      </c>
      <c r="C700" s="411">
        <f>IF(C$697&gt;$A700,$A700,C$697)</f>
        <v>0</v>
      </c>
      <c r="D700" s="416">
        <f t="shared" ref="D700:L700" si="298">IF(D$697&gt;$A700,$A700,D$697)</f>
        <v>0</v>
      </c>
      <c r="E700" s="416">
        <f t="shared" si="298"/>
        <v>0</v>
      </c>
      <c r="F700" s="416">
        <f t="shared" si="298"/>
        <v>0</v>
      </c>
      <c r="G700" s="416">
        <f t="shared" si="298"/>
        <v>0.4</v>
      </c>
      <c r="H700" s="416">
        <f t="shared" si="298"/>
        <v>0.5</v>
      </c>
      <c r="I700" s="416">
        <f t="shared" si="298"/>
        <v>0.5</v>
      </c>
      <c r="J700" s="416">
        <f t="shared" si="298"/>
        <v>0.5</v>
      </c>
      <c r="K700" s="416">
        <f t="shared" si="298"/>
        <v>0.5</v>
      </c>
      <c r="L700" s="416">
        <f t="shared" si="298"/>
        <v>0.5</v>
      </c>
      <c r="M700" s="283"/>
      <c r="N700" s="405">
        <f t="shared" ref="N700:W708" si="299">C700*$B700</f>
        <v>0</v>
      </c>
      <c r="O700" s="95">
        <f t="shared" si="299"/>
        <v>0</v>
      </c>
      <c r="P700" s="95">
        <f t="shared" si="299"/>
        <v>0</v>
      </c>
      <c r="Q700" s="95">
        <f t="shared" si="299"/>
        <v>0</v>
      </c>
      <c r="R700" s="95">
        <f t="shared" si="299"/>
        <v>0.39200000000000002</v>
      </c>
      <c r="S700" s="95">
        <f t="shared" si="299"/>
        <v>0.49</v>
      </c>
      <c r="T700" s="95">
        <f t="shared" si="299"/>
        <v>0.49</v>
      </c>
      <c r="U700" s="95">
        <f t="shared" si="299"/>
        <v>0.49</v>
      </c>
      <c r="V700" s="95">
        <f t="shared" si="299"/>
        <v>0.49</v>
      </c>
      <c r="W700" s="95">
        <f t="shared" si="299"/>
        <v>0.49</v>
      </c>
      <c r="X700" s="283"/>
    </row>
    <row r="701" spans="1:24" s="8" customFormat="1" outlineLevel="2">
      <c r="A701" s="416">
        <f>D$52</f>
        <v>1</v>
      </c>
      <c r="B701" s="416">
        <f>B$52</f>
        <v>0.78</v>
      </c>
      <c r="C701" s="411">
        <f>IF(C$697&gt;$A701,$A701-$A700,C$697-SUM(C700:C$700))</f>
        <v>0</v>
      </c>
      <c r="D701" s="416">
        <f>IF(D$697&gt;$A701,$A701-$A700,D$697-SUM(D700:D$700))</f>
        <v>0</v>
      </c>
      <c r="E701" s="416">
        <f>IF(E$697&gt;$A701,$A701-$A700,E$697-SUM(E700:E$700))</f>
        <v>0</v>
      </c>
      <c r="F701" s="416">
        <f>IF(F$697&gt;$A701,$A701-$A700,F$697-SUM(F700:F$700))</f>
        <v>0</v>
      </c>
      <c r="G701" s="416">
        <f>IF(G$697&gt;$A701,$A701-$A700,G$697-SUM(G700:G$700))</f>
        <v>0</v>
      </c>
      <c r="H701" s="416">
        <f>IF(H$697&gt;$A701,$A701-$A700,H$697-SUM(H700:H$700))</f>
        <v>0.5</v>
      </c>
      <c r="I701" s="416">
        <f>IF(I$697&gt;$A701,$A701-$A700,I$697-SUM(I700:I$700))</f>
        <v>0.5</v>
      </c>
      <c r="J701" s="416">
        <f>IF(J$697&gt;$A701,$A701-$A700,J$697-SUM(J700:J$700))</f>
        <v>0.5</v>
      </c>
      <c r="K701" s="416">
        <f>IF(K$697&gt;$A701,$A701-$A700,K$697-SUM(K700:K$700))</f>
        <v>0.5</v>
      </c>
      <c r="L701" s="416">
        <f>IF(L$697&gt;$A701,$A701-$A700,L$697-SUM(L700:L$700))</f>
        <v>0.5</v>
      </c>
      <c r="M701" s="283"/>
      <c r="N701" s="405">
        <f t="shared" si="299"/>
        <v>0</v>
      </c>
      <c r="O701" s="95">
        <f t="shared" si="299"/>
        <v>0</v>
      </c>
      <c r="P701" s="95">
        <f t="shared" si="299"/>
        <v>0</v>
      </c>
      <c r="Q701" s="95">
        <f t="shared" si="299"/>
        <v>0</v>
      </c>
      <c r="R701" s="95">
        <f t="shared" si="299"/>
        <v>0</v>
      </c>
      <c r="S701" s="95">
        <f t="shared" si="299"/>
        <v>0.39</v>
      </c>
      <c r="T701" s="95">
        <f t="shared" si="299"/>
        <v>0.39</v>
      </c>
      <c r="U701" s="95">
        <f t="shared" si="299"/>
        <v>0.39</v>
      </c>
      <c r="V701" s="95">
        <f t="shared" si="299"/>
        <v>0.39</v>
      </c>
      <c r="W701" s="95">
        <f t="shared" si="299"/>
        <v>0.39</v>
      </c>
      <c r="X701" s="283"/>
    </row>
    <row r="702" spans="1:24" s="8" customFormat="1" outlineLevel="2">
      <c r="A702" s="416">
        <f>D$53</f>
        <v>2</v>
      </c>
      <c r="B702" s="416">
        <f>B$53</f>
        <v>0.68</v>
      </c>
      <c r="C702" s="411">
        <f>IF(C$697&gt;$A702,$A702-$A701,C$697-SUM(C$700:C701))</f>
        <v>0</v>
      </c>
      <c r="D702" s="416">
        <f>IF(D$697&gt;$A702,$A702-$A701,D$697-SUM(D$700:D701))</f>
        <v>0</v>
      </c>
      <c r="E702" s="416">
        <f>IF(E$697&gt;$A702,$A702-$A701,E$697-SUM(E$700:E701))</f>
        <v>0</v>
      </c>
      <c r="F702" s="416">
        <f>IF(F$697&gt;$A702,$A702-$A701,F$697-SUM(F$700:F701))</f>
        <v>0</v>
      </c>
      <c r="G702" s="416">
        <f>IF(G$697&gt;$A702,$A702-$A701,G$697-SUM(G$700:G701))</f>
        <v>0</v>
      </c>
      <c r="H702" s="416">
        <f>IF(H$697&gt;$A702,$A702-$A701,H$697-SUM(H$700:H701))</f>
        <v>1</v>
      </c>
      <c r="I702" s="416">
        <f>IF(I$697&gt;$A702,$A702-$A701,I$697-SUM(I$700:I701))</f>
        <v>1</v>
      </c>
      <c r="J702" s="416">
        <f>IF(J$697&gt;$A702,$A702-$A701,J$697-SUM(J$700:J701))</f>
        <v>1</v>
      </c>
      <c r="K702" s="416">
        <f>IF(K$697&gt;$A702,$A702-$A701,K$697-SUM(K$700:K701))</f>
        <v>1</v>
      </c>
      <c r="L702" s="416">
        <f>IF(L$697&gt;$A702,$A702-$A701,L$697-SUM(L$700:L701))</f>
        <v>1</v>
      </c>
      <c r="M702" s="283"/>
      <c r="N702" s="405">
        <f t="shared" si="299"/>
        <v>0</v>
      </c>
      <c r="O702" s="95">
        <f t="shared" si="299"/>
        <v>0</v>
      </c>
      <c r="P702" s="95">
        <f t="shared" si="299"/>
        <v>0</v>
      </c>
      <c r="Q702" s="95">
        <f t="shared" si="299"/>
        <v>0</v>
      </c>
      <c r="R702" s="95">
        <f t="shared" si="299"/>
        <v>0</v>
      </c>
      <c r="S702" s="95">
        <f t="shared" si="299"/>
        <v>0.68</v>
      </c>
      <c r="T702" s="95">
        <f t="shared" si="299"/>
        <v>0.68</v>
      </c>
      <c r="U702" s="95">
        <f t="shared" si="299"/>
        <v>0.68</v>
      </c>
      <c r="V702" s="95">
        <f t="shared" si="299"/>
        <v>0.68</v>
      </c>
      <c r="W702" s="95">
        <f t="shared" si="299"/>
        <v>0.68</v>
      </c>
      <c r="X702" s="283"/>
    </row>
    <row r="703" spans="1:24" s="8" customFormat="1" outlineLevel="2">
      <c r="A703" s="416">
        <f>D$54</f>
        <v>5</v>
      </c>
      <c r="B703" s="416">
        <f>B$54</f>
        <v>0.45</v>
      </c>
      <c r="C703" s="411">
        <f>IF(C$697&gt;$A703,$A703-$A702,C$697-SUM(C$700:C702))</f>
        <v>0</v>
      </c>
      <c r="D703" s="416">
        <f>IF(D$697&gt;$A703,$A703-$A702,D$697-SUM(D$700:D702))</f>
        <v>0</v>
      </c>
      <c r="E703" s="416">
        <f>IF(E$697&gt;$A703,$A703-$A702,E$697-SUM(E$700:E702))</f>
        <v>0</v>
      </c>
      <c r="F703" s="416">
        <f>IF(F$697&gt;$A703,$A703-$A702,F$697-SUM(F$700:F702))</f>
        <v>0</v>
      </c>
      <c r="G703" s="416">
        <f>IF(G$697&gt;$A703,$A703-$A702,G$697-SUM(G$700:G702))</f>
        <v>0</v>
      </c>
      <c r="H703" s="416">
        <f>IF(H$697&gt;$A703,$A703-$A702,H$697-SUM(H$700:H702))</f>
        <v>3</v>
      </c>
      <c r="I703" s="416">
        <f>IF(I$697&gt;$A703,$A703-$A702,I$697-SUM(I$700:I702))</f>
        <v>3</v>
      </c>
      <c r="J703" s="416">
        <f>IF(J$697&gt;$A703,$A703-$A702,J$697-SUM(J$700:J702))</f>
        <v>3</v>
      </c>
      <c r="K703" s="416">
        <f>IF(K$697&gt;$A703,$A703-$A702,K$697-SUM(K$700:K702))</f>
        <v>3</v>
      </c>
      <c r="L703" s="416">
        <f>IF(L$697&gt;$A703,$A703-$A702,L$697-SUM(L$700:L702))</f>
        <v>3</v>
      </c>
      <c r="M703" s="283"/>
      <c r="N703" s="405">
        <f t="shared" si="299"/>
        <v>0</v>
      </c>
      <c r="O703" s="95">
        <f t="shared" si="299"/>
        <v>0</v>
      </c>
      <c r="P703" s="95">
        <f t="shared" si="299"/>
        <v>0</v>
      </c>
      <c r="Q703" s="95">
        <f t="shared" si="299"/>
        <v>0</v>
      </c>
      <c r="R703" s="95">
        <f t="shared" si="299"/>
        <v>0</v>
      </c>
      <c r="S703" s="95">
        <f t="shared" si="299"/>
        <v>1.35</v>
      </c>
      <c r="T703" s="95">
        <f t="shared" si="299"/>
        <v>1.35</v>
      </c>
      <c r="U703" s="95">
        <f t="shared" si="299"/>
        <v>1.35</v>
      </c>
      <c r="V703" s="95">
        <f t="shared" si="299"/>
        <v>1.35</v>
      </c>
      <c r="W703" s="95">
        <f t="shared" si="299"/>
        <v>1.35</v>
      </c>
      <c r="X703" s="283"/>
    </row>
    <row r="704" spans="1:24" s="8" customFormat="1" outlineLevel="2">
      <c r="A704" s="416">
        <f>D$55</f>
        <v>10</v>
      </c>
      <c r="B704" s="416">
        <f>B$55</f>
        <v>0.42</v>
      </c>
      <c r="C704" s="411">
        <f>IF(C$697&gt;$A704,$A704-$A703,C$697-SUM(C$700:C703))</f>
        <v>0</v>
      </c>
      <c r="D704" s="416">
        <f>IF(D$697&gt;$A704,$A704-$A703,D$697-SUM(D$700:D703))</f>
        <v>0</v>
      </c>
      <c r="E704" s="416">
        <f>IF(E$697&gt;$A704,$A704-$A703,E$697-SUM(E$700:E703))</f>
        <v>0</v>
      </c>
      <c r="F704" s="416">
        <f>IF(F$697&gt;$A704,$A704-$A703,F$697-SUM(F$700:F703))</f>
        <v>0</v>
      </c>
      <c r="G704" s="416">
        <f>IF(G$697&gt;$A704,$A704-$A703,G$697-SUM(G$700:G703))</f>
        <v>0</v>
      </c>
      <c r="H704" s="416">
        <f>IF(H$697&gt;$A704,$A704-$A703,H$697-SUM(H$700:H703))</f>
        <v>2.2000000000000002</v>
      </c>
      <c r="I704" s="416">
        <f>IF(I$697&gt;$A704,$A704-$A703,I$697-SUM(I$700:I703))</f>
        <v>5</v>
      </c>
      <c r="J704" s="416">
        <f>IF(J$697&gt;$A704,$A704-$A703,J$697-SUM(J$700:J703))</f>
        <v>5</v>
      </c>
      <c r="K704" s="416">
        <f>IF(K$697&gt;$A704,$A704-$A703,K$697-SUM(K$700:K703))</f>
        <v>5</v>
      </c>
      <c r="L704" s="416">
        <f>IF(L$697&gt;$A704,$A704-$A703,L$697-SUM(L$700:L703))</f>
        <v>5</v>
      </c>
      <c r="M704" s="283"/>
      <c r="N704" s="405">
        <f t="shared" si="299"/>
        <v>0</v>
      </c>
      <c r="O704" s="95">
        <f t="shared" si="299"/>
        <v>0</v>
      </c>
      <c r="P704" s="95">
        <f t="shared" si="299"/>
        <v>0</v>
      </c>
      <c r="Q704" s="95">
        <f t="shared" si="299"/>
        <v>0</v>
      </c>
      <c r="R704" s="95">
        <f t="shared" si="299"/>
        <v>0</v>
      </c>
      <c r="S704" s="95">
        <f t="shared" si="299"/>
        <v>0.92400000000000004</v>
      </c>
      <c r="T704" s="95">
        <f t="shared" si="299"/>
        <v>2.1</v>
      </c>
      <c r="U704" s="95">
        <f t="shared" si="299"/>
        <v>2.1</v>
      </c>
      <c r="V704" s="95">
        <f t="shared" si="299"/>
        <v>2.1</v>
      </c>
      <c r="W704" s="95">
        <f t="shared" si="299"/>
        <v>2.1</v>
      </c>
      <c r="X704" s="283"/>
    </row>
    <row r="705" spans="1:24" s="8" customFormat="1" outlineLevel="2">
      <c r="A705" s="416">
        <f>D$56</f>
        <v>20</v>
      </c>
      <c r="B705" s="416">
        <f>B$56</f>
        <v>0.22</v>
      </c>
      <c r="C705" s="411">
        <f>IF(C$697&gt;$A705,$A705-$A704,C$697-SUM(C$700:C704))</f>
        <v>0</v>
      </c>
      <c r="D705" s="416">
        <f>IF(D$697&gt;$A705,$A705-$A704,D$697-SUM(D$700:D704))</f>
        <v>0</v>
      </c>
      <c r="E705" s="416">
        <f>IF(E$697&gt;$A705,$A705-$A704,E$697-SUM(E$700:E704))</f>
        <v>0</v>
      </c>
      <c r="F705" s="416">
        <f>IF(F$697&gt;$A705,$A705-$A704,F$697-SUM(F$700:F704))</f>
        <v>0</v>
      </c>
      <c r="G705" s="416">
        <f>IF(G$697&gt;$A705,$A705-$A704,G$697-SUM(G$700:G704))</f>
        <v>0</v>
      </c>
      <c r="H705" s="416">
        <f>IF(H$697&gt;$A705,$A705-$A704,H$697-SUM(H$700:H704))</f>
        <v>0</v>
      </c>
      <c r="I705" s="416">
        <f>IF(I$697&gt;$A705,$A705-$A704,I$697-SUM(I$700:I704))</f>
        <v>8.6999999999999993</v>
      </c>
      <c r="J705" s="416">
        <f>IF(J$697&gt;$A705,$A705-$A704,J$697-SUM(J$700:J704))</f>
        <v>10</v>
      </c>
      <c r="K705" s="416">
        <f>IF(K$697&gt;$A705,$A705-$A704,K$697-SUM(K$700:K704))</f>
        <v>10</v>
      </c>
      <c r="L705" s="416">
        <f>IF(L$697&gt;$A705,$A705-$A704,L$697-SUM(L$700:L704))</f>
        <v>10</v>
      </c>
      <c r="M705" s="283"/>
      <c r="N705" s="405">
        <f t="shared" si="299"/>
        <v>0</v>
      </c>
      <c r="O705" s="95">
        <f t="shared" si="299"/>
        <v>0</v>
      </c>
      <c r="P705" s="95">
        <f t="shared" si="299"/>
        <v>0</v>
      </c>
      <c r="Q705" s="95">
        <f t="shared" si="299"/>
        <v>0</v>
      </c>
      <c r="R705" s="95">
        <f t="shared" si="299"/>
        <v>0</v>
      </c>
      <c r="S705" s="95">
        <f t="shared" si="299"/>
        <v>0</v>
      </c>
      <c r="T705" s="95">
        <f t="shared" si="299"/>
        <v>1.9139999999999999</v>
      </c>
      <c r="U705" s="95">
        <f t="shared" si="299"/>
        <v>2.2000000000000002</v>
      </c>
      <c r="V705" s="95">
        <f t="shared" si="299"/>
        <v>2.2000000000000002</v>
      </c>
      <c r="W705" s="95">
        <f t="shared" si="299"/>
        <v>2.2000000000000002</v>
      </c>
      <c r="X705" s="283"/>
    </row>
    <row r="706" spans="1:24" s="8" customFormat="1" outlineLevel="2">
      <c r="A706" s="416">
        <f>D$57</f>
        <v>50</v>
      </c>
      <c r="B706" s="416">
        <f>B$57</f>
        <v>0.2</v>
      </c>
      <c r="C706" s="411">
        <f>IF(C$697&gt;$A706,$A706-$A705,C$697-SUM(C$700:C705))</f>
        <v>0</v>
      </c>
      <c r="D706" s="416">
        <f>IF(D$697&gt;$A706,$A706-$A705,D$697-SUM(D$700:D705))</f>
        <v>0</v>
      </c>
      <c r="E706" s="416">
        <f>IF(E$697&gt;$A706,$A706-$A705,E$697-SUM(E$700:E705))</f>
        <v>0</v>
      </c>
      <c r="F706" s="416">
        <f>IF(F$697&gt;$A706,$A706-$A705,F$697-SUM(F$700:F705))</f>
        <v>0</v>
      </c>
      <c r="G706" s="416">
        <f>IF(G$697&gt;$A706,$A706-$A705,G$697-SUM(G$700:G705))</f>
        <v>0</v>
      </c>
      <c r="H706" s="416">
        <f>IF(H$697&gt;$A706,$A706-$A705,H$697-SUM(H$700:H705))</f>
        <v>0</v>
      </c>
      <c r="I706" s="416">
        <f>IF(I$697&gt;$A706,$A706-$A705,I$697-SUM(I$700:I705))</f>
        <v>0</v>
      </c>
      <c r="J706" s="416">
        <f>IF(J$697&gt;$A706,$A706-$A705,J$697-SUM(J$700:J705))</f>
        <v>30</v>
      </c>
      <c r="K706" s="416">
        <f>IF(K$697&gt;$A706,$A706-$A705,K$697-SUM(K$700:K705))</f>
        <v>30</v>
      </c>
      <c r="L706" s="416">
        <f>IF(L$697&gt;$A706,$A706-$A705,L$697-SUM(L$700:L705))</f>
        <v>30</v>
      </c>
      <c r="M706" s="283"/>
      <c r="N706" s="405">
        <f t="shared" si="299"/>
        <v>0</v>
      </c>
      <c r="O706" s="95">
        <f t="shared" si="299"/>
        <v>0</v>
      </c>
      <c r="P706" s="95">
        <f t="shared" si="299"/>
        <v>0</v>
      </c>
      <c r="Q706" s="95">
        <f t="shared" si="299"/>
        <v>0</v>
      </c>
      <c r="R706" s="95">
        <f t="shared" si="299"/>
        <v>0</v>
      </c>
      <c r="S706" s="95">
        <f t="shared" si="299"/>
        <v>0</v>
      </c>
      <c r="T706" s="95">
        <f t="shared" si="299"/>
        <v>0</v>
      </c>
      <c r="U706" s="95">
        <f t="shared" si="299"/>
        <v>6</v>
      </c>
      <c r="V706" s="95">
        <f t="shared" si="299"/>
        <v>6</v>
      </c>
      <c r="W706" s="95">
        <f t="shared" si="299"/>
        <v>6</v>
      </c>
      <c r="X706" s="283"/>
    </row>
    <row r="707" spans="1:24" s="8" customFormat="1" outlineLevel="2">
      <c r="A707" s="416">
        <f>D$58</f>
        <v>75</v>
      </c>
      <c r="B707" s="416">
        <f>B$58</f>
        <v>0.15</v>
      </c>
      <c r="C707" s="411">
        <f>IF(C$697&gt;$A707,$A707-$A706,C$697-SUM(C$700:C706))</f>
        <v>0</v>
      </c>
      <c r="D707" s="416">
        <f>IF(D$697&gt;$A707,$A707-$A706,D$697-SUM(D$700:D706))</f>
        <v>0</v>
      </c>
      <c r="E707" s="416">
        <f>IF(E$697&gt;$A707,$A707-$A706,E$697-SUM(E$700:E706))</f>
        <v>0</v>
      </c>
      <c r="F707" s="416">
        <f>IF(F$697&gt;$A707,$A707-$A706,F$697-SUM(F$700:F706))</f>
        <v>0</v>
      </c>
      <c r="G707" s="416">
        <f>IF(G$697&gt;$A707,$A707-$A706,G$697-SUM(G$700:G706))</f>
        <v>0</v>
      </c>
      <c r="H707" s="416">
        <f>IF(H$697&gt;$A707,$A707-$A706,H$697-SUM(H$700:H706))</f>
        <v>0</v>
      </c>
      <c r="I707" s="416">
        <f>IF(I$697&gt;$A707,$A707-$A706,I$697-SUM(I$700:I706))</f>
        <v>0</v>
      </c>
      <c r="J707" s="416">
        <f>IF(J$697&gt;$A707,$A707-$A706,J$697-SUM(J$700:J706))</f>
        <v>11.100000000000001</v>
      </c>
      <c r="K707" s="416">
        <f>IF(K$697&gt;$A707,$A707-$A706,K$697-SUM(K$700:K706))</f>
        <v>21.700000000000003</v>
      </c>
      <c r="L707" s="416">
        <f>IF(L$697&gt;$A707,$A707-$A706,L$697-SUM(L$700:L706))</f>
        <v>5</v>
      </c>
      <c r="M707" s="283"/>
      <c r="N707" s="405">
        <f t="shared" si="299"/>
        <v>0</v>
      </c>
      <c r="O707" s="95">
        <f t="shared" si="299"/>
        <v>0</v>
      </c>
      <c r="P707" s="95">
        <f t="shared" si="299"/>
        <v>0</v>
      </c>
      <c r="Q707" s="95">
        <f t="shared" si="299"/>
        <v>0</v>
      </c>
      <c r="R707" s="95">
        <f t="shared" si="299"/>
        <v>0</v>
      </c>
      <c r="S707" s="95">
        <f t="shared" si="299"/>
        <v>0</v>
      </c>
      <c r="T707" s="95">
        <f t="shared" si="299"/>
        <v>0</v>
      </c>
      <c r="U707" s="95">
        <f t="shared" si="299"/>
        <v>1.6650000000000003</v>
      </c>
      <c r="V707" s="95">
        <f t="shared" si="299"/>
        <v>3.2550000000000003</v>
      </c>
      <c r="W707" s="95">
        <f t="shared" si="299"/>
        <v>0.75</v>
      </c>
      <c r="X707" s="283"/>
    </row>
    <row r="708" spans="1:24" s="8" customFormat="1" outlineLevel="2">
      <c r="A708" s="416">
        <f>D$59</f>
        <v>9999</v>
      </c>
      <c r="B708" s="416">
        <f>B$59</f>
        <v>0.1</v>
      </c>
      <c r="C708" s="411">
        <f>IF(C$697&gt;$A708,$A708-$A707,C$697-SUM(C$700:C707))</f>
        <v>0</v>
      </c>
      <c r="D708" s="416">
        <f>IF(D$697&gt;$A708,$A708-$A707,D$697-SUM(D$700:D707))</f>
        <v>0</v>
      </c>
      <c r="E708" s="416">
        <f>IF(E$697&gt;$A708,$A708-$A707,E$697-SUM(E$700:E707))</f>
        <v>0</v>
      </c>
      <c r="F708" s="416">
        <f>IF(F$697&gt;$A708,$A708-$A707,F$697-SUM(F$700:F707))</f>
        <v>0</v>
      </c>
      <c r="G708" s="416">
        <f>IF(G$697&gt;$A708,$A708-$A707,G$697-SUM(G$700:G707))</f>
        <v>0</v>
      </c>
      <c r="H708" s="416">
        <f>IF(H$697&gt;$A708,$A708-$A707,H$697-SUM(H$700:H707))</f>
        <v>0</v>
      </c>
      <c r="I708" s="416">
        <f>IF(I$697&gt;$A708,$A708-$A707,I$697-SUM(I$700:I707))</f>
        <v>0</v>
      </c>
      <c r="J708" s="416">
        <f>IF(J$697&gt;$A708,$A708-$A707,J$697-SUM(J$700:J707))</f>
        <v>0</v>
      </c>
      <c r="K708" s="416">
        <f>IF(K$697&gt;$A708,$A708-$A707,K$697-SUM(K$700:K707))</f>
        <v>0</v>
      </c>
      <c r="L708" s="416">
        <f>IF(L$697&gt;$A708,$A708-$A707,L$697-SUM(L$700:L707))</f>
        <v>0</v>
      </c>
      <c r="M708" s="283"/>
      <c r="N708" s="405">
        <f t="shared" si="299"/>
        <v>0</v>
      </c>
      <c r="O708" s="95">
        <f t="shared" si="299"/>
        <v>0</v>
      </c>
      <c r="P708" s="95">
        <f t="shared" si="299"/>
        <v>0</v>
      </c>
      <c r="Q708" s="95">
        <f t="shared" si="299"/>
        <v>0</v>
      </c>
      <c r="R708" s="95">
        <f t="shared" si="299"/>
        <v>0</v>
      </c>
      <c r="S708" s="95">
        <f t="shared" si="299"/>
        <v>0</v>
      </c>
      <c r="T708" s="95">
        <f t="shared" si="299"/>
        <v>0</v>
      </c>
      <c r="U708" s="95">
        <f t="shared" si="299"/>
        <v>0</v>
      </c>
      <c r="V708" s="95">
        <f t="shared" si="299"/>
        <v>0</v>
      </c>
      <c r="W708" s="95">
        <f t="shared" si="299"/>
        <v>0</v>
      </c>
      <c r="X708" s="283"/>
    </row>
    <row r="709" spans="1:24" s="8" customFormat="1" outlineLevel="1">
      <c r="A709" s="404"/>
      <c r="B709" s="417" t="str">
        <f>CONCATENATE(B696," Total")</f>
        <v>Xiaomi Total</v>
      </c>
      <c r="C709" s="418">
        <f>SUM(C700:C708)</f>
        <v>0</v>
      </c>
      <c r="D709" s="419">
        <f t="shared" ref="D709:L709" si="300">SUM(D700:D708)</f>
        <v>0</v>
      </c>
      <c r="E709" s="419">
        <f t="shared" si="300"/>
        <v>0</v>
      </c>
      <c r="F709" s="419">
        <f t="shared" si="300"/>
        <v>0</v>
      </c>
      <c r="G709" s="419">
        <f t="shared" si="300"/>
        <v>0.4</v>
      </c>
      <c r="H709" s="419">
        <f t="shared" si="300"/>
        <v>7.2</v>
      </c>
      <c r="I709" s="419">
        <f t="shared" si="300"/>
        <v>18.7</v>
      </c>
      <c r="J709" s="419">
        <f t="shared" si="300"/>
        <v>61.1</v>
      </c>
      <c r="K709" s="419">
        <f t="shared" si="300"/>
        <v>71.7</v>
      </c>
      <c r="L709" s="419">
        <f t="shared" si="300"/>
        <v>55</v>
      </c>
      <c r="M709" s="283"/>
      <c r="N709" s="420">
        <f>SUM(N700:N708)</f>
        <v>0</v>
      </c>
      <c r="O709" s="420">
        <f t="shared" ref="O709:W709" si="301">SUM(O700:O708)</f>
        <v>0</v>
      </c>
      <c r="P709" s="420">
        <f t="shared" si="301"/>
        <v>0</v>
      </c>
      <c r="Q709" s="420">
        <f t="shared" si="301"/>
        <v>0</v>
      </c>
      <c r="R709" s="420">
        <f t="shared" si="301"/>
        <v>0.39200000000000002</v>
      </c>
      <c r="S709" s="420">
        <f t="shared" si="301"/>
        <v>3.8340000000000001</v>
      </c>
      <c r="T709" s="420">
        <f t="shared" si="301"/>
        <v>6.9239999999999995</v>
      </c>
      <c r="U709" s="420">
        <f t="shared" si="301"/>
        <v>14.875000000000002</v>
      </c>
      <c r="V709" s="420">
        <f t="shared" si="301"/>
        <v>16.465</v>
      </c>
      <c r="W709" s="420">
        <f t="shared" si="301"/>
        <v>13.96</v>
      </c>
      <c r="X709" s="283"/>
    </row>
    <row r="710" spans="1:24" s="8" customFormat="1" outlineLevel="1">
      <c r="B710" s="421" t="s">
        <v>778</v>
      </c>
      <c r="C710" s="422">
        <f t="shared" ref="C710:L710" si="302">C709-C697</f>
        <v>0</v>
      </c>
      <c r="D710" s="423">
        <f t="shared" si="302"/>
        <v>0</v>
      </c>
      <c r="E710" s="423">
        <f t="shared" si="302"/>
        <v>0</v>
      </c>
      <c r="F710" s="423">
        <f t="shared" si="302"/>
        <v>0</v>
      </c>
      <c r="G710" s="423">
        <f t="shared" si="302"/>
        <v>0</v>
      </c>
      <c r="H710" s="423">
        <f t="shared" si="302"/>
        <v>0</v>
      </c>
      <c r="I710" s="423">
        <f t="shared" si="302"/>
        <v>0</v>
      </c>
      <c r="J710" s="423">
        <f t="shared" si="302"/>
        <v>0</v>
      </c>
      <c r="K710" s="423">
        <f t="shared" si="302"/>
        <v>0</v>
      </c>
      <c r="L710" s="423">
        <f t="shared" si="302"/>
        <v>0</v>
      </c>
      <c r="M710" s="283"/>
      <c r="N710" s="283"/>
      <c r="O710" s="283"/>
      <c r="P710" s="283"/>
      <c r="Q710" s="283"/>
      <c r="R710" s="283"/>
      <c r="S710" s="283"/>
      <c r="T710" s="283"/>
      <c r="U710" s="283"/>
      <c r="V710" s="283"/>
      <c r="W710" s="283"/>
      <c r="X710" s="283"/>
    </row>
    <row r="711" spans="1:24" s="8" customFormat="1" outlineLevel="1">
      <c r="B711" s="283"/>
      <c r="C711" s="283"/>
      <c r="M711" s="283"/>
      <c r="X711" s="283"/>
    </row>
    <row r="712" spans="1:24" s="8" customFormat="1" outlineLevel="1" collapsed="1">
      <c r="A712" s="8">
        <f>A696+1</f>
        <v>34</v>
      </c>
      <c r="B712" s="424" t="str">
        <f>A173</f>
        <v>ZTE</v>
      </c>
      <c r="C712" s="80">
        <v>2007</v>
      </c>
      <c r="D712" s="66">
        <f>C712+1</f>
        <v>2008</v>
      </c>
      <c r="E712" s="66">
        <f t="shared" ref="E712:L712" si="303">D712+1</f>
        <v>2009</v>
      </c>
      <c r="F712" s="66">
        <f t="shared" si="303"/>
        <v>2010</v>
      </c>
      <c r="G712" s="66">
        <f t="shared" si="303"/>
        <v>2011</v>
      </c>
      <c r="H712" s="66">
        <f t="shared" si="303"/>
        <v>2012</v>
      </c>
      <c r="I712" s="66">
        <f t="shared" si="303"/>
        <v>2013</v>
      </c>
      <c r="J712" s="66">
        <f t="shared" si="303"/>
        <v>2014</v>
      </c>
      <c r="K712" s="66">
        <f t="shared" si="303"/>
        <v>2015</v>
      </c>
      <c r="L712" s="66">
        <f t="shared" si="303"/>
        <v>2016</v>
      </c>
      <c r="M712" s="283"/>
      <c r="N712" s="168">
        <f t="shared" ref="N712:W712" si="304">C712</f>
        <v>2007</v>
      </c>
      <c r="O712" s="66">
        <f t="shared" si="304"/>
        <v>2008</v>
      </c>
      <c r="P712" s="66">
        <f t="shared" si="304"/>
        <v>2009</v>
      </c>
      <c r="Q712" s="66">
        <f t="shared" si="304"/>
        <v>2010</v>
      </c>
      <c r="R712" s="66">
        <f t="shared" si="304"/>
        <v>2011</v>
      </c>
      <c r="S712" s="66">
        <f t="shared" si="304"/>
        <v>2012</v>
      </c>
      <c r="T712" s="66">
        <f t="shared" si="304"/>
        <v>2013</v>
      </c>
      <c r="U712" s="66">
        <f t="shared" si="304"/>
        <v>2014</v>
      </c>
      <c r="V712" s="66">
        <f t="shared" si="304"/>
        <v>2015</v>
      </c>
      <c r="W712" s="66">
        <f t="shared" si="304"/>
        <v>2016</v>
      </c>
      <c r="X712" s="283"/>
    </row>
    <row r="713" spans="1:24" s="8" customFormat="1" outlineLevel="2">
      <c r="B713" s="8" t="s">
        <v>1348</v>
      </c>
      <c r="C713" s="411">
        <f t="shared" ref="C713:L713" si="305">VLOOKUP($B712,$A$140:$K$175,C$183+1,FALSE)</f>
        <v>25</v>
      </c>
      <c r="D713" s="412">
        <f t="shared" si="305"/>
        <v>37</v>
      </c>
      <c r="E713" s="412">
        <f t="shared" si="305"/>
        <v>41</v>
      </c>
      <c r="F713" s="412">
        <f t="shared" si="305"/>
        <v>61</v>
      </c>
      <c r="G713" s="412">
        <f t="shared" si="305"/>
        <v>82.853999999999999</v>
      </c>
      <c r="H713" s="412">
        <f t="shared" si="305"/>
        <v>70.5</v>
      </c>
      <c r="I713" s="412">
        <f t="shared" si="305"/>
        <v>66</v>
      </c>
      <c r="J713" s="412">
        <f t="shared" si="305"/>
        <v>76</v>
      </c>
      <c r="K713" s="412">
        <f t="shared" si="305"/>
        <v>77.38</v>
      </c>
      <c r="L713" s="412">
        <f t="shared" si="305"/>
        <v>65.5</v>
      </c>
      <c r="M713" s="283"/>
      <c r="N713" s="283"/>
      <c r="X713" s="283"/>
    </row>
    <row r="714" spans="1:24" s="8" customFormat="1" outlineLevel="2">
      <c r="C714" s="413"/>
      <c r="D714" s="414"/>
      <c r="E714" s="414"/>
      <c r="F714" s="414"/>
      <c r="G714" s="414"/>
      <c r="H714" s="414"/>
      <c r="I714" s="414"/>
      <c r="J714" s="414"/>
      <c r="K714" s="414"/>
      <c r="L714" s="414"/>
      <c r="M714" s="283"/>
      <c r="N714" s="283"/>
      <c r="X714" s="283"/>
    </row>
    <row r="715" spans="1:24" s="8" customFormat="1" outlineLevel="2">
      <c r="A715" s="66" t="s">
        <v>1349</v>
      </c>
      <c r="B715" s="66" t="s">
        <v>1350</v>
      </c>
      <c r="C715" s="415"/>
      <c r="F715" s="9"/>
      <c r="M715" s="283"/>
      <c r="N715" s="283"/>
      <c r="X715" s="283"/>
    </row>
    <row r="716" spans="1:24" s="8" customFormat="1" outlineLevel="2">
      <c r="A716" s="416">
        <f>D$51</f>
        <v>0.5</v>
      </c>
      <c r="B716" s="416">
        <f>B$51</f>
        <v>0.98</v>
      </c>
      <c r="C716" s="411">
        <f>IF(C$713&gt;$A716,$A716,C$713)</f>
        <v>0.5</v>
      </c>
      <c r="D716" s="416">
        <f t="shared" ref="D716:L716" si="306">IF(D$713&gt;$A716,$A716,D$713)</f>
        <v>0.5</v>
      </c>
      <c r="E716" s="416">
        <f t="shared" si="306"/>
        <v>0.5</v>
      </c>
      <c r="F716" s="416">
        <f t="shared" si="306"/>
        <v>0.5</v>
      </c>
      <c r="G716" s="416">
        <f t="shared" si="306"/>
        <v>0.5</v>
      </c>
      <c r="H716" s="416">
        <f t="shared" si="306"/>
        <v>0.5</v>
      </c>
      <c r="I716" s="416">
        <f t="shared" si="306"/>
        <v>0.5</v>
      </c>
      <c r="J716" s="416">
        <f t="shared" si="306"/>
        <v>0.5</v>
      </c>
      <c r="K716" s="416">
        <f t="shared" si="306"/>
        <v>0.5</v>
      </c>
      <c r="L716" s="416">
        <f t="shared" si="306"/>
        <v>0.5</v>
      </c>
      <c r="M716" s="283"/>
      <c r="N716" s="405">
        <f t="shared" ref="N716:W724" si="307">C716*$B716</f>
        <v>0.49</v>
      </c>
      <c r="O716" s="95">
        <f t="shared" si="307"/>
        <v>0.49</v>
      </c>
      <c r="P716" s="95">
        <f t="shared" si="307"/>
        <v>0.49</v>
      </c>
      <c r="Q716" s="95">
        <f t="shared" si="307"/>
        <v>0.49</v>
      </c>
      <c r="R716" s="95">
        <f t="shared" si="307"/>
        <v>0.49</v>
      </c>
      <c r="S716" s="95">
        <f t="shared" si="307"/>
        <v>0.49</v>
      </c>
      <c r="T716" s="95">
        <f t="shared" si="307"/>
        <v>0.49</v>
      </c>
      <c r="U716" s="95">
        <f t="shared" si="307"/>
        <v>0.49</v>
      </c>
      <c r="V716" s="95">
        <f t="shared" si="307"/>
        <v>0.49</v>
      </c>
      <c r="W716" s="95">
        <f t="shared" si="307"/>
        <v>0.49</v>
      </c>
      <c r="X716" s="283"/>
    </row>
    <row r="717" spans="1:24" s="8" customFormat="1" outlineLevel="2">
      <c r="A717" s="416">
        <f>D$52</f>
        <v>1</v>
      </c>
      <c r="B717" s="416">
        <f>B$52</f>
        <v>0.78</v>
      </c>
      <c r="C717" s="411">
        <f>IF(C$713&gt;$A717,$A717-$A716,C$713-SUM(C716:C$716))</f>
        <v>0.5</v>
      </c>
      <c r="D717" s="416">
        <f>IF(D$713&gt;$A717,$A717-$A716,D$713-SUM(D716:D$716))</f>
        <v>0.5</v>
      </c>
      <c r="E717" s="416">
        <f>IF(E$713&gt;$A717,$A717-$A716,E$713-SUM(E716:E$716))</f>
        <v>0.5</v>
      </c>
      <c r="F717" s="416">
        <f>IF(F$713&gt;$A717,$A717-$A716,F$713-SUM(F716:F$716))</f>
        <v>0.5</v>
      </c>
      <c r="G717" s="416">
        <f>IF(G$713&gt;$A717,$A717-$A716,G$713-SUM(G716:G$716))</f>
        <v>0.5</v>
      </c>
      <c r="H717" s="416">
        <f>IF(H$713&gt;$A717,$A717-$A716,H$713-SUM(H716:H$716))</f>
        <v>0.5</v>
      </c>
      <c r="I717" s="416">
        <f>IF(I$713&gt;$A717,$A717-$A716,I$713-SUM(I716:I$716))</f>
        <v>0.5</v>
      </c>
      <c r="J717" s="416">
        <f>IF(J$713&gt;$A717,$A717-$A716,J$713-SUM(J716:J$716))</f>
        <v>0.5</v>
      </c>
      <c r="K717" s="416">
        <f>IF(K$713&gt;$A717,$A717-$A716,K$713-SUM(K716:K$716))</f>
        <v>0.5</v>
      </c>
      <c r="L717" s="416">
        <f>IF(L$713&gt;$A717,$A717-$A716,L$713-SUM(L716:L$716))</f>
        <v>0.5</v>
      </c>
      <c r="M717" s="283"/>
      <c r="N717" s="405">
        <f t="shared" si="307"/>
        <v>0.39</v>
      </c>
      <c r="O717" s="95">
        <f t="shared" si="307"/>
        <v>0.39</v>
      </c>
      <c r="P717" s="95">
        <f t="shared" si="307"/>
        <v>0.39</v>
      </c>
      <c r="Q717" s="95">
        <f t="shared" si="307"/>
        <v>0.39</v>
      </c>
      <c r="R717" s="95">
        <f t="shared" si="307"/>
        <v>0.39</v>
      </c>
      <c r="S717" s="95">
        <f t="shared" si="307"/>
        <v>0.39</v>
      </c>
      <c r="T717" s="95">
        <f t="shared" si="307"/>
        <v>0.39</v>
      </c>
      <c r="U717" s="95">
        <f t="shared" si="307"/>
        <v>0.39</v>
      </c>
      <c r="V717" s="95">
        <f t="shared" si="307"/>
        <v>0.39</v>
      </c>
      <c r="W717" s="95">
        <f t="shared" si="307"/>
        <v>0.39</v>
      </c>
      <c r="X717" s="283"/>
    </row>
    <row r="718" spans="1:24" s="8" customFormat="1" outlineLevel="2">
      <c r="A718" s="416">
        <f>D$53</f>
        <v>2</v>
      </c>
      <c r="B718" s="416">
        <f>B$53</f>
        <v>0.68</v>
      </c>
      <c r="C718" s="411">
        <f>IF(C$713&gt;$A718,$A718-$A717,C$713-SUM(C$716:C717))</f>
        <v>1</v>
      </c>
      <c r="D718" s="416">
        <f>IF(D$713&gt;$A718,$A718-$A717,D$713-SUM(D$716:D717))</f>
        <v>1</v>
      </c>
      <c r="E718" s="416">
        <f>IF(E$713&gt;$A718,$A718-$A717,E$713-SUM(E$716:E717))</f>
        <v>1</v>
      </c>
      <c r="F718" s="416">
        <f>IF(F$713&gt;$A718,$A718-$A717,F$713-SUM(F$716:F717))</f>
        <v>1</v>
      </c>
      <c r="G718" s="416">
        <f>IF(G$713&gt;$A718,$A718-$A717,G$713-SUM(G$716:G717))</f>
        <v>1</v>
      </c>
      <c r="H718" s="416">
        <f>IF(H$713&gt;$A718,$A718-$A717,H$713-SUM(H$716:H717))</f>
        <v>1</v>
      </c>
      <c r="I718" s="416">
        <f>IF(I$713&gt;$A718,$A718-$A717,I$713-SUM(I$716:I717))</f>
        <v>1</v>
      </c>
      <c r="J718" s="416">
        <f>IF(J$713&gt;$A718,$A718-$A717,J$713-SUM(J$716:J717))</f>
        <v>1</v>
      </c>
      <c r="K718" s="416">
        <f>IF(K$713&gt;$A718,$A718-$A717,K$713-SUM(K$716:K717))</f>
        <v>1</v>
      </c>
      <c r="L718" s="416">
        <f>IF(L$713&gt;$A718,$A718-$A717,L$713-SUM(L$716:L717))</f>
        <v>1</v>
      </c>
      <c r="M718" s="283"/>
      <c r="N718" s="405">
        <f t="shared" si="307"/>
        <v>0.68</v>
      </c>
      <c r="O718" s="95">
        <f t="shared" si="307"/>
        <v>0.68</v>
      </c>
      <c r="P718" s="95">
        <f t="shared" si="307"/>
        <v>0.68</v>
      </c>
      <c r="Q718" s="95">
        <f t="shared" si="307"/>
        <v>0.68</v>
      </c>
      <c r="R718" s="95">
        <f t="shared" si="307"/>
        <v>0.68</v>
      </c>
      <c r="S718" s="95">
        <f t="shared" si="307"/>
        <v>0.68</v>
      </c>
      <c r="T718" s="95">
        <f t="shared" si="307"/>
        <v>0.68</v>
      </c>
      <c r="U718" s="95">
        <f t="shared" si="307"/>
        <v>0.68</v>
      </c>
      <c r="V718" s="95">
        <f t="shared" si="307"/>
        <v>0.68</v>
      </c>
      <c r="W718" s="95">
        <f t="shared" si="307"/>
        <v>0.68</v>
      </c>
      <c r="X718" s="283"/>
    </row>
    <row r="719" spans="1:24" s="8" customFormat="1" outlineLevel="2">
      <c r="A719" s="416">
        <f>D$54</f>
        <v>5</v>
      </c>
      <c r="B719" s="416">
        <f>B$54</f>
        <v>0.45</v>
      </c>
      <c r="C719" s="411">
        <f>IF(C$713&gt;$A719,$A719-$A718,C$713-SUM(C$716:C718))</f>
        <v>3</v>
      </c>
      <c r="D719" s="416">
        <f>IF(D$713&gt;$A719,$A719-$A718,D$713-SUM(D$716:D718))</f>
        <v>3</v>
      </c>
      <c r="E719" s="416">
        <f>IF(E$713&gt;$A719,$A719-$A718,E$713-SUM(E$716:E718))</f>
        <v>3</v>
      </c>
      <c r="F719" s="416">
        <f>IF(F$713&gt;$A719,$A719-$A718,F$713-SUM(F$716:F718))</f>
        <v>3</v>
      </c>
      <c r="G719" s="416">
        <f>IF(G$713&gt;$A719,$A719-$A718,G$713-SUM(G$716:G718))</f>
        <v>3</v>
      </c>
      <c r="H719" s="416">
        <f>IF(H$713&gt;$A719,$A719-$A718,H$713-SUM(H$716:H718))</f>
        <v>3</v>
      </c>
      <c r="I719" s="416">
        <f>IF(I$713&gt;$A719,$A719-$A718,I$713-SUM(I$716:I718))</f>
        <v>3</v>
      </c>
      <c r="J719" s="416">
        <f>IF(J$713&gt;$A719,$A719-$A718,J$713-SUM(J$716:J718))</f>
        <v>3</v>
      </c>
      <c r="K719" s="416">
        <f>IF(K$713&gt;$A719,$A719-$A718,K$713-SUM(K$716:K718))</f>
        <v>3</v>
      </c>
      <c r="L719" s="416">
        <f>IF(L$713&gt;$A719,$A719-$A718,L$713-SUM(L$716:L718))</f>
        <v>3</v>
      </c>
      <c r="M719" s="283"/>
      <c r="N719" s="405">
        <f t="shared" si="307"/>
        <v>1.35</v>
      </c>
      <c r="O719" s="95">
        <f t="shared" si="307"/>
        <v>1.35</v>
      </c>
      <c r="P719" s="95">
        <f t="shared" si="307"/>
        <v>1.35</v>
      </c>
      <c r="Q719" s="95">
        <f t="shared" si="307"/>
        <v>1.35</v>
      </c>
      <c r="R719" s="95">
        <f t="shared" si="307"/>
        <v>1.35</v>
      </c>
      <c r="S719" s="95">
        <f t="shared" si="307"/>
        <v>1.35</v>
      </c>
      <c r="T719" s="95">
        <f t="shared" si="307"/>
        <v>1.35</v>
      </c>
      <c r="U719" s="95">
        <f t="shared" si="307"/>
        <v>1.35</v>
      </c>
      <c r="V719" s="95">
        <f t="shared" si="307"/>
        <v>1.35</v>
      </c>
      <c r="W719" s="95">
        <f t="shared" si="307"/>
        <v>1.35</v>
      </c>
      <c r="X719" s="283"/>
    </row>
    <row r="720" spans="1:24" s="8" customFormat="1" outlineLevel="2">
      <c r="A720" s="416">
        <f>D$55</f>
        <v>10</v>
      </c>
      <c r="B720" s="416">
        <f>B$55</f>
        <v>0.42</v>
      </c>
      <c r="C720" s="411">
        <f>IF(C$713&gt;$A720,$A720-$A719,C$713-SUM(C$716:C719))</f>
        <v>5</v>
      </c>
      <c r="D720" s="416">
        <f>IF(D$713&gt;$A720,$A720-$A719,D$713-SUM(D$716:D719))</f>
        <v>5</v>
      </c>
      <c r="E720" s="416">
        <f>IF(E$713&gt;$A720,$A720-$A719,E$713-SUM(E$716:E719))</f>
        <v>5</v>
      </c>
      <c r="F720" s="416">
        <f>IF(F$713&gt;$A720,$A720-$A719,F$713-SUM(F$716:F719))</f>
        <v>5</v>
      </c>
      <c r="G720" s="416">
        <f>IF(G$713&gt;$A720,$A720-$A719,G$713-SUM(G$716:G719))</f>
        <v>5</v>
      </c>
      <c r="H720" s="416">
        <f>IF(H$713&gt;$A720,$A720-$A719,H$713-SUM(H$716:H719))</f>
        <v>5</v>
      </c>
      <c r="I720" s="416">
        <f>IF(I$713&gt;$A720,$A720-$A719,I$713-SUM(I$716:I719))</f>
        <v>5</v>
      </c>
      <c r="J720" s="416">
        <f>IF(J$713&gt;$A720,$A720-$A719,J$713-SUM(J$716:J719))</f>
        <v>5</v>
      </c>
      <c r="K720" s="416">
        <f>IF(K$713&gt;$A720,$A720-$A719,K$713-SUM(K$716:K719))</f>
        <v>5</v>
      </c>
      <c r="L720" s="416">
        <f>IF(L$713&gt;$A720,$A720-$A719,L$713-SUM(L$716:L719))</f>
        <v>5</v>
      </c>
      <c r="M720" s="283"/>
      <c r="N720" s="405">
        <f t="shared" si="307"/>
        <v>2.1</v>
      </c>
      <c r="O720" s="95">
        <f t="shared" si="307"/>
        <v>2.1</v>
      </c>
      <c r="P720" s="95">
        <f t="shared" si="307"/>
        <v>2.1</v>
      </c>
      <c r="Q720" s="95">
        <f t="shared" si="307"/>
        <v>2.1</v>
      </c>
      <c r="R720" s="95">
        <f t="shared" si="307"/>
        <v>2.1</v>
      </c>
      <c r="S720" s="95">
        <f t="shared" si="307"/>
        <v>2.1</v>
      </c>
      <c r="T720" s="95">
        <f t="shared" si="307"/>
        <v>2.1</v>
      </c>
      <c r="U720" s="95">
        <f t="shared" si="307"/>
        <v>2.1</v>
      </c>
      <c r="V720" s="95">
        <f t="shared" si="307"/>
        <v>2.1</v>
      </c>
      <c r="W720" s="95">
        <f t="shared" si="307"/>
        <v>2.1</v>
      </c>
      <c r="X720" s="283"/>
    </row>
    <row r="721" spans="1:24" s="8" customFormat="1" outlineLevel="2">
      <c r="A721" s="416">
        <f>D$56</f>
        <v>20</v>
      </c>
      <c r="B721" s="416">
        <f>B$56</f>
        <v>0.22</v>
      </c>
      <c r="C721" s="411">
        <f>IF(C$713&gt;$A721,$A721-$A720,C$713-SUM(C$716:C720))</f>
        <v>10</v>
      </c>
      <c r="D721" s="416">
        <f>IF(D$713&gt;$A721,$A721-$A720,D$713-SUM(D$716:D720))</f>
        <v>10</v>
      </c>
      <c r="E721" s="416">
        <f>IF(E$713&gt;$A721,$A721-$A720,E$713-SUM(E$716:E720))</f>
        <v>10</v>
      </c>
      <c r="F721" s="416">
        <f>IF(F$713&gt;$A721,$A721-$A720,F$713-SUM(F$716:F720))</f>
        <v>10</v>
      </c>
      <c r="G721" s="416">
        <f>IF(G$713&gt;$A721,$A721-$A720,G$713-SUM(G$716:G720))</f>
        <v>10</v>
      </c>
      <c r="H721" s="416">
        <f>IF(H$713&gt;$A721,$A721-$A720,H$713-SUM(H$716:H720))</f>
        <v>10</v>
      </c>
      <c r="I721" s="416">
        <f>IF(I$713&gt;$A721,$A721-$A720,I$713-SUM(I$716:I720))</f>
        <v>10</v>
      </c>
      <c r="J721" s="416">
        <f>IF(J$713&gt;$A721,$A721-$A720,J$713-SUM(J$716:J720))</f>
        <v>10</v>
      </c>
      <c r="K721" s="416">
        <f>IF(K$713&gt;$A721,$A721-$A720,K$713-SUM(K$716:K720))</f>
        <v>10</v>
      </c>
      <c r="L721" s="416">
        <f>IF(L$713&gt;$A721,$A721-$A720,L$713-SUM(L$716:L720))</f>
        <v>10</v>
      </c>
      <c r="M721" s="283"/>
      <c r="N721" s="405">
        <f t="shared" si="307"/>
        <v>2.2000000000000002</v>
      </c>
      <c r="O721" s="95">
        <f t="shared" si="307"/>
        <v>2.2000000000000002</v>
      </c>
      <c r="P721" s="95">
        <f t="shared" si="307"/>
        <v>2.2000000000000002</v>
      </c>
      <c r="Q721" s="95">
        <f t="shared" si="307"/>
        <v>2.2000000000000002</v>
      </c>
      <c r="R721" s="95">
        <f t="shared" si="307"/>
        <v>2.2000000000000002</v>
      </c>
      <c r="S721" s="95">
        <f t="shared" si="307"/>
        <v>2.2000000000000002</v>
      </c>
      <c r="T721" s="95">
        <f t="shared" si="307"/>
        <v>2.2000000000000002</v>
      </c>
      <c r="U721" s="95">
        <f t="shared" si="307"/>
        <v>2.2000000000000002</v>
      </c>
      <c r="V721" s="95">
        <f t="shared" si="307"/>
        <v>2.2000000000000002</v>
      </c>
      <c r="W721" s="95">
        <f t="shared" si="307"/>
        <v>2.2000000000000002</v>
      </c>
      <c r="X721" s="283"/>
    </row>
    <row r="722" spans="1:24" s="8" customFormat="1" outlineLevel="2">
      <c r="A722" s="416">
        <f>D$57</f>
        <v>50</v>
      </c>
      <c r="B722" s="416">
        <f>B$57</f>
        <v>0.2</v>
      </c>
      <c r="C722" s="411">
        <f>IF(C$713&gt;$A722,$A722-$A721,C$713-SUM(C$716:C721))</f>
        <v>5</v>
      </c>
      <c r="D722" s="416">
        <f>IF(D$713&gt;$A722,$A722-$A721,D$713-SUM(D$716:D721))</f>
        <v>17</v>
      </c>
      <c r="E722" s="416">
        <f>IF(E$713&gt;$A722,$A722-$A721,E$713-SUM(E$716:E721))</f>
        <v>21</v>
      </c>
      <c r="F722" s="416">
        <f>IF(F$713&gt;$A722,$A722-$A721,F$713-SUM(F$716:F721))</f>
        <v>30</v>
      </c>
      <c r="G722" s="416">
        <f>IF(G$713&gt;$A722,$A722-$A721,G$713-SUM(G$716:G721))</f>
        <v>30</v>
      </c>
      <c r="H722" s="416">
        <f>IF(H$713&gt;$A722,$A722-$A721,H$713-SUM(H$716:H721))</f>
        <v>30</v>
      </c>
      <c r="I722" s="416">
        <f>IF(I$713&gt;$A722,$A722-$A721,I$713-SUM(I$716:I721))</f>
        <v>30</v>
      </c>
      <c r="J722" s="416">
        <f>IF(J$713&gt;$A722,$A722-$A721,J$713-SUM(J$716:J721))</f>
        <v>30</v>
      </c>
      <c r="K722" s="416">
        <f>IF(K$713&gt;$A722,$A722-$A721,K$713-SUM(K$716:K721))</f>
        <v>30</v>
      </c>
      <c r="L722" s="416">
        <f>IF(L$713&gt;$A722,$A722-$A721,L$713-SUM(L$716:L721))</f>
        <v>30</v>
      </c>
      <c r="M722" s="283"/>
      <c r="N722" s="405">
        <f t="shared" si="307"/>
        <v>1</v>
      </c>
      <c r="O722" s="95">
        <f t="shared" si="307"/>
        <v>3.4000000000000004</v>
      </c>
      <c r="P722" s="95">
        <f t="shared" si="307"/>
        <v>4.2</v>
      </c>
      <c r="Q722" s="95">
        <f t="shared" si="307"/>
        <v>6</v>
      </c>
      <c r="R722" s="95">
        <f t="shared" si="307"/>
        <v>6</v>
      </c>
      <c r="S722" s="95">
        <f t="shared" si="307"/>
        <v>6</v>
      </c>
      <c r="T722" s="95">
        <f t="shared" si="307"/>
        <v>6</v>
      </c>
      <c r="U722" s="95">
        <f t="shared" si="307"/>
        <v>6</v>
      </c>
      <c r="V722" s="95">
        <f t="shared" si="307"/>
        <v>6</v>
      </c>
      <c r="W722" s="95">
        <f t="shared" si="307"/>
        <v>6</v>
      </c>
      <c r="X722" s="283"/>
    </row>
    <row r="723" spans="1:24" s="8" customFormat="1" outlineLevel="2">
      <c r="A723" s="416">
        <f>D$58</f>
        <v>75</v>
      </c>
      <c r="B723" s="416">
        <f>B$58</f>
        <v>0.15</v>
      </c>
      <c r="C723" s="411">
        <f>IF(C$713&gt;$A723,$A723-$A722,C$713-SUM(C$716:C722))</f>
        <v>0</v>
      </c>
      <c r="D723" s="416">
        <f>IF(D$713&gt;$A723,$A723-$A722,D$713-SUM(D$716:D722))</f>
        <v>0</v>
      </c>
      <c r="E723" s="416">
        <f>IF(E$713&gt;$A723,$A723-$A722,E$713-SUM(E$716:E722))</f>
        <v>0</v>
      </c>
      <c r="F723" s="416">
        <f>IF(F$713&gt;$A723,$A723-$A722,F$713-SUM(F$716:F722))</f>
        <v>11</v>
      </c>
      <c r="G723" s="416">
        <f>IF(G$713&gt;$A723,$A723-$A722,G$713-SUM(G$716:G722))</f>
        <v>25</v>
      </c>
      <c r="H723" s="416">
        <f>IF(H$713&gt;$A723,$A723-$A722,H$713-SUM(H$716:H722))</f>
        <v>20.5</v>
      </c>
      <c r="I723" s="416">
        <f>IF(I$713&gt;$A723,$A723-$A722,I$713-SUM(I$716:I722))</f>
        <v>16</v>
      </c>
      <c r="J723" s="416">
        <f>IF(J$713&gt;$A723,$A723-$A722,J$713-SUM(J$716:J722))</f>
        <v>25</v>
      </c>
      <c r="K723" s="416">
        <f>IF(K$713&gt;$A723,$A723-$A722,K$713-SUM(K$716:K722))</f>
        <v>25</v>
      </c>
      <c r="L723" s="416">
        <f>IF(L$713&gt;$A723,$A723-$A722,L$713-SUM(L$716:L722))</f>
        <v>15.5</v>
      </c>
      <c r="M723" s="283"/>
      <c r="N723" s="405">
        <f t="shared" si="307"/>
        <v>0</v>
      </c>
      <c r="O723" s="95">
        <f t="shared" si="307"/>
        <v>0</v>
      </c>
      <c r="P723" s="95">
        <f t="shared" si="307"/>
        <v>0</v>
      </c>
      <c r="Q723" s="95">
        <f t="shared" si="307"/>
        <v>1.65</v>
      </c>
      <c r="R723" s="95">
        <f t="shared" si="307"/>
        <v>3.75</v>
      </c>
      <c r="S723" s="95">
        <f t="shared" si="307"/>
        <v>3.0749999999999997</v>
      </c>
      <c r="T723" s="95">
        <f t="shared" si="307"/>
        <v>2.4</v>
      </c>
      <c r="U723" s="95">
        <f t="shared" si="307"/>
        <v>3.75</v>
      </c>
      <c r="V723" s="95">
        <f t="shared" si="307"/>
        <v>3.75</v>
      </c>
      <c r="W723" s="95">
        <f t="shared" si="307"/>
        <v>2.3249999999999997</v>
      </c>
      <c r="X723" s="283"/>
    </row>
    <row r="724" spans="1:24" s="8" customFormat="1" outlineLevel="2">
      <c r="A724" s="416">
        <f>D$59</f>
        <v>9999</v>
      </c>
      <c r="B724" s="416">
        <f>B$59</f>
        <v>0.1</v>
      </c>
      <c r="C724" s="411">
        <f>IF(C$713&gt;$A724,$A724-$A723,C$713-SUM(C$716:C723))</f>
        <v>0</v>
      </c>
      <c r="D724" s="416">
        <f>IF(D$713&gt;$A724,$A724-$A723,D$713-SUM(D$716:D723))</f>
        <v>0</v>
      </c>
      <c r="E724" s="416">
        <f>IF(E$713&gt;$A724,$A724-$A723,E$713-SUM(E$716:E723))</f>
        <v>0</v>
      </c>
      <c r="F724" s="416">
        <f>IF(F$713&gt;$A724,$A724-$A723,F$713-SUM(F$716:F723))</f>
        <v>0</v>
      </c>
      <c r="G724" s="416">
        <f>IF(G$713&gt;$A724,$A724-$A723,G$713-SUM(G$716:G723))</f>
        <v>7.8539999999999992</v>
      </c>
      <c r="H724" s="416">
        <f>IF(H$713&gt;$A724,$A724-$A723,H$713-SUM(H$716:H723))</f>
        <v>0</v>
      </c>
      <c r="I724" s="416">
        <f>IF(I$713&gt;$A724,$A724-$A723,I$713-SUM(I$716:I723))</f>
        <v>0</v>
      </c>
      <c r="J724" s="416">
        <f>IF(J$713&gt;$A724,$A724-$A723,J$713-SUM(J$716:J723))</f>
        <v>1</v>
      </c>
      <c r="K724" s="416">
        <f>IF(K$713&gt;$A724,$A724-$A723,K$713-SUM(K$716:K723))</f>
        <v>2.3799999999999955</v>
      </c>
      <c r="L724" s="416">
        <f>IF(L$713&gt;$A724,$A724-$A723,L$713-SUM(L$716:L723))</f>
        <v>0</v>
      </c>
      <c r="M724" s="283"/>
      <c r="N724" s="405">
        <f t="shared" si="307"/>
        <v>0</v>
      </c>
      <c r="O724" s="95">
        <f t="shared" si="307"/>
        <v>0</v>
      </c>
      <c r="P724" s="95">
        <f t="shared" si="307"/>
        <v>0</v>
      </c>
      <c r="Q724" s="95">
        <f t="shared" si="307"/>
        <v>0</v>
      </c>
      <c r="R724" s="95">
        <f t="shared" si="307"/>
        <v>0.78539999999999999</v>
      </c>
      <c r="S724" s="95">
        <f t="shared" si="307"/>
        <v>0</v>
      </c>
      <c r="T724" s="95">
        <f t="shared" si="307"/>
        <v>0</v>
      </c>
      <c r="U724" s="95">
        <f t="shared" si="307"/>
        <v>0.1</v>
      </c>
      <c r="V724" s="95">
        <f t="shared" si="307"/>
        <v>0.23799999999999955</v>
      </c>
      <c r="W724" s="95">
        <f t="shared" si="307"/>
        <v>0</v>
      </c>
      <c r="X724" s="283"/>
    </row>
    <row r="725" spans="1:24" s="8" customFormat="1" outlineLevel="1">
      <c r="A725" s="404"/>
      <c r="B725" s="417" t="str">
        <f>CONCATENATE(B712," Total")</f>
        <v>ZTE Total</v>
      </c>
      <c r="C725" s="418">
        <f>SUM(C716:C724)</f>
        <v>25</v>
      </c>
      <c r="D725" s="419">
        <f t="shared" ref="D725:L725" si="308">SUM(D716:D724)</f>
        <v>37</v>
      </c>
      <c r="E725" s="419">
        <f t="shared" si="308"/>
        <v>41</v>
      </c>
      <c r="F725" s="419">
        <f t="shared" si="308"/>
        <v>61</v>
      </c>
      <c r="G725" s="419">
        <f t="shared" si="308"/>
        <v>82.853999999999999</v>
      </c>
      <c r="H725" s="419">
        <f t="shared" si="308"/>
        <v>70.5</v>
      </c>
      <c r="I725" s="419">
        <f t="shared" si="308"/>
        <v>66</v>
      </c>
      <c r="J725" s="419">
        <f t="shared" si="308"/>
        <v>76</v>
      </c>
      <c r="K725" s="419">
        <f t="shared" si="308"/>
        <v>77.38</v>
      </c>
      <c r="L725" s="419">
        <f t="shared" si="308"/>
        <v>65.5</v>
      </c>
      <c r="M725" s="283"/>
      <c r="N725" s="420">
        <f>SUM(N716:N724)</f>
        <v>8.2100000000000009</v>
      </c>
      <c r="O725" s="420">
        <f t="shared" ref="O725:W725" si="309">SUM(O716:O724)</f>
        <v>10.61</v>
      </c>
      <c r="P725" s="420">
        <f t="shared" si="309"/>
        <v>11.41</v>
      </c>
      <c r="Q725" s="420">
        <f t="shared" si="309"/>
        <v>14.860000000000001</v>
      </c>
      <c r="R725" s="420">
        <f t="shared" si="309"/>
        <v>17.7454</v>
      </c>
      <c r="S725" s="420">
        <f t="shared" si="309"/>
        <v>16.285</v>
      </c>
      <c r="T725" s="420">
        <f t="shared" si="309"/>
        <v>15.610000000000001</v>
      </c>
      <c r="U725" s="420">
        <f t="shared" si="309"/>
        <v>17.060000000000002</v>
      </c>
      <c r="V725" s="420">
        <f t="shared" si="309"/>
        <v>17.198</v>
      </c>
      <c r="W725" s="420">
        <f t="shared" si="309"/>
        <v>15.535</v>
      </c>
      <c r="X725" s="283"/>
    </row>
    <row r="726" spans="1:24" s="8" customFormat="1" outlineLevel="1">
      <c r="B726" s="421" t="s">
        <v>778</v>
      </c>
      <c r="C726" s="422">
        <f t="shared" ref="C726:L726" si="310">C725-C713</f>
        <v>0</v>
      </c>
      <c r="D726" s="423">
        <f t="shared" si="310"/>
        <v>0</v>
      </c>
      <c r="E726" s="423">
        <f t="shared" si="310"/>
        <v>0</v>
      </c>
      <c r="F726" s="423">
        <f t="shared" si="310"/>
        <v>0</v>
      </c>
      <c r="G726" s="423">
        <f t="shared" si="310"/>
        <v>0</v>
      </c>
      <c r="H726" s="423">
        <f t="shared" si="310"/>
        <v>0</v>
      </c>
      <c r="I726" s="423">
        <f t="shared" si="310"/>
        <v>0</v>
      </c>
      <c r="J726" s="423">
        <f t="shared" si="310"/>
        <v>0</v>
      </c>
      <c r="K726" s="423">
        <f t="shared" si="310"/>
        <v>0</v>
      </c>
      <c r="L726" s="423">
        <f t="shared" si="310"/>
        <v>0</v>
      </c>
      <c r="M726" s="283"/>
      <c r="N726" s="283"/>
      <c r="O726" s="283"/>
      <c r="P726" s="283"/>
      <c r="Q726" s="283"/>
      <c r="R726" s="283"/>
      <c r="S726" s="283"/>
      <c r="T726" s="283"/>
      <c r="U726" s="283"/>
      <c r="V726" s="283"/>
      <c r="W726" s="283"/>
      <c r="X726" s="283"/>
    </row>
    <row r="727" spans="1:24" s="8" customFormat="1" outlineLevel="1">
      <c r="C727" s="283"/>
      <c r="M727" s="283"/>
      <c r="X727" s="283"/>
    </row>
    <row r="728" spans="1:24" s="8" customFormat="1" outlineLevel="1" collapsed="1">
      <c r="A728" s="8">
        <f>A712+1</f>
        <v>35</v>
      </c>
      <c r="B728" s="424" t="str">
        <f>A174</f>
        <v>Other Chinese</v>
      </c>
      <c r="C728" s="80">
        <v>2007</v>
      </c>
      <c r="D728" s="66">
        <f>C728+1</f>
        <v>2008</v>
      </c>
      <c r="E728" s="66">
        <f t="shared" ref="E728:L728" si="311">D728+1</f>
        <v>2009</v>
      </c>
      <c r="F728" s="66">
        <f t="shared" si="311"/>
        <v>2010</v>
      </c>
      <c r="G728" s="66">
        <f t="shared" si="311"/>
        <v>2011</v>
      </c>
      <c r="H728" s="66">
        <f t="shared" si="311"/>
        <v>2012</v>
      </c>
      <c r="I728" s="66">
        <f t="shared" si="311"/>
        <v>2013</v>
      </c>
      <c r="J728" s="66">
        <f t="shared" si="311"/>
        <v>2014</v>
      </c>
      <c r="K728" s="66">
        <f t="shared" si="311"/>
        <v>2015</v>
      </c>
      <c r="L728" s="66">
        <f t="shared" si="311"/>
        <v>2016</v>
      </c>
      <c r="M728" s="283"/>
      <c r="N728" s="168">
        <f t="shared" ref="N728:W728" si="312">C728</f>
        <v>2007</v>
      </c>
      <c r="O728" s="66">
        <f t="shared" si="312"/>
        <v>2008</v>
      </c>
      <c r="P728" s="66">
        <f t="shared" si="312"/>
        <v>2009</v>
      </c>
      <c r="Q728" s="66">
        <f t="shared" si="312"/>
        <v>2010</v>
      </c>
      <c r="R728" s="66">
        <f t="shared" si="312"/>
        <v>2011</v>
      </c>
      <c r="S728" s="66">
        <f t="shared" si="312"/>
        <v>2012</v>
      </c>
      <c r="T728" s="66">
        <f t="shared" si="312"/>
        <v>2013</v>
      </c>
      <c r="U728" s="66">
        <f t="shared" si="312"/>
        <v>2014</v>
      </c>
      <c r="V728" s="66">
        <f t="shared" si="312"/>
        <v>2015</v>
      </c>
      <c r="W728" s="66">
        <f t="shared" si="312"/>
        <v>2016</v>
      </c>
      <c r="X728" s="283"/>
    </row>
    <row r="729" spans="1:24" s="8" customFormat="1" outlineLevel="2">
      <c r="B729" s="8" t="s">
        <v>1348</v>
      </c>
      <c r="C729" s="411">
        <f t="shared" ref="C729:L729" si="313">VLOOKUP($B728,$A$140:$K$175,C$183+1,FALSE)</f>
        <v>44.7</v>
      </c>
      <c r="D729" s="412">
        <f t="shared" si="313"/>
        <v>38.799999999999997</v>
      </c>
      <c r="E729" s="412">
        <f t="shared" si="313"/>
        <v>44.8</v>
      </c>
      <c r="F729" s="412">
        <f t="shared" si="313"/>
        <v>117.5</v>
      </c>
      <c r="G729" s="412">
        <f t="shared" si="313"/>
        <v>187.63752858474561</v>
      </c>
      <c r="H729" s="412">
        <f t="shared" si="313"/>
        <v>210.35116198367149</v>
      </c>
      <c r="I729" s="412">
        <f t="shared" si="313"/>
        <v>310.56969239923308</v>
      </c>
      <c r="J729" s="412">
        <f t="shared" si="313"/>
        <v>122.51427207801396</v>
      </c>
      <c r="K729" s="412">
        <f t="shared" si="313"/>
        <v>153.70000000000005</v>
      </c>
      <c r="L729" s="412">
        <f t="shared" si="313"/>
        <v>134.69999999999999</v>
      </c>
      <c r="M729" s="283"/>
      <c r="N729" s="283"/>
      <c r="X729" s="283"/>
    </row>
    <row r="730" spans="1:24" s="8" customFormat="1" outlineLevel="2">
      <c r="C730" s="413"/>
      <c r="D730" s="414"/>
      <c r="E730" s="414"/>
      <c r="F730" s="414"/>
      <c r="G730" s="414"/>
      <c r="H730" s="414"/>
      <c r="I730" s="414"/>
      <c r="J730" s="414"/>
      <c r="K730" s="414"/>
      <c r="L730" s="414"/>
      <c r="M730" s="283"/>
      <c r="N730" s="283"/>
      <c r="X730" s="283"/>
    </row>
    <row r="731" spans="1:24" s="8" customFormat="1" outlineLevel="2">
      <c r="A731" s="66" t="s">
        <v>1349</v>
      </c>
      <c r="B731" s="66" t="s">
        <v>1350</v>
      </c>
      <c r="C731" s="415"/>
      <c r="F731" s="9"/>
      <c r="M731" s="283"/>
      <c r="N731" s="283"/>
      <c r="X731" s="283"/>
    </row>
    <row r="732" spans="1:24" s="8" customFormat="1" outlineLevel="2">
      <c r="A732" s="416">
        <f>D$51</f>
        <v>0.5</v>
      </c>
      <c r="B732" s="416">
        <f>B$51</f>
        <v>0.98</v>
      </c>
      <c r="C732" s="411">
        <f>IF(C$729&gt;$A732,$A732,C$729)</f>
        <v>0.5</v>
      </c>
      <c r="D732" s="416">
        <f t="shared" ref="D732:L732" si="314">IF(D$729&gt;$A732,$A732,D$729)</f>
        <v>0.5</v>
      </c>
      <c r="E732" s="416">
        <f t="shared" si="314"/>
        <v>0.5</v>
      </c>
      <c r="F732" s="416">
        <f t="shared" si="314"/>
        <v>0.5</v>
      </c>
      <c r="G732" s="416">
        <f t="shared" si="314"/>
        <v>0.5</v>
      </c>
      <c r="H732" s="416">
        <f t="shared" si="314"/>
        <v>0.5</v>
      </c>
      <c r="I732" s="416">
        <f t="shared" si="314"/>
        <v>0.5</v>
      </c>
      <c r="J732" s="416">
        <f t="shared" si="314"/>
        <v>0.5</v>
      </c>
      <c r="K732" s="416">
        <f t="shared" si="314"/>
        <v>0.5</v>
      </c>
      <c r="L732" s="416">
        <f t="shared" si="314"/>
        <v>0.5</v>
      </c>
      <c r="M732" s="283"/>
      <c r="N732" s="405">
        <f t="shared" ref="N732:W740" si="315">C732*$B732</f>
        <v>0.49</v>
      </c>
      <c r="O732" s="95">
        <f t="shared" si="315"/>
        <v>0.49</v>
      </c>
      <c r="P732" s="95">
        <f t="shared" si="315"/>
        <v>0.49</v>
      </c>
      <c r="Q732" s="95">
        <f t="shared" si="315"/>
        <v>0.49</v>
      </c>
      <c r="R732" s="95">
        <f t="shared" si="315"/>
        <v>0.49</v>
      </c>
      <c r="S732" s="95">
        <f t="shared" si="315"/>
        <v>0.49</v>
      </c>
      <c r="T732" s="95">
        <f t="shared" si="315"/>
        <v>0.49</v>
      </c>
      <c r="U732" s="95">
        <f t="shared" si="315"/>
        <v>0.49</v>
      </c>
      <c r="V732" s="95">
        <f t="shared" si="315"/>
        <v>0.49</v>
      </c>
      <c r="W732" s="95">
        <f t="shared" si="315"/>
        <v>0.49</v>
      </c>
      <c r="X732" s="283"/>
    </row>
    <row r="733" spans="1:24" s="8" customFormat="1" outlineLevel="2">
      <c r="A733" s="416">
        <f>D$52</f>
        <v>1</v>
      </c>
      <c r="B733" s="416">
        <f>B$52</f>
        <v>0.78</v>
      </c>
      <c r="C733" s="411">
        <f>IF(C$729&gt;$A733,$A733-$A732,C$729-SUM(C732:C$732))</f>
        <v>0.5</v>
      </c>
      <c r="D733" s="416">
        <f>IF(D$729&gt;$A733,$A733-$A732,D$729-SUM(D732:D$732))</f>
        <v>0.5</v>
      </c>
      <c r="E733" s="416">
        <f>IF(E$729&gt;$A733,$A733-$A732,E$729-SUM(E732:E$732))</f>
        <v>0.5</v>
      </c>
      <c r="F733" s="416">
        <f>IF(F$729&gt;$A733,$A733-$A732,F$729-SUM(F732:F$732))</f>
        <v>0.5</v>
      </c>
      <c r="G733" s="416">
        <f>IF(G$729&gt;$A733,$A733-$A732,G$729-SUM(G732:G$732))</f>
        <v>0.5</v>
      </c>
      <c r="H733" s="416">
        <f>IF(H$729&gt;$A733,$A733-$A732,H$729-SUM(H732:H$732))</f>
        <v>0.5</v>
      </c>
      <c r="I733" s="416">
        <f>IF(I$729&gt;$A733,$A733-$A732,I$729-SUM(I732:I$732))</f>
        <v>0.5</v>
      </c>
      <c r="J733" s="416">
        <f>IF(J$729&gt;$A733,$A733-$A732,J$729-SUM(J732:J$732))</f>
        <v>0.5</v>
      </c>
      <c r="K733" s="416">
        <f>IF(K$729&gt;$A733,$A733-$A732,K$729-SUM(K732:K$732))</f>
        <v>0.5</v>
      </c>
      <c r="L733" s="416">
        <f>IF(L$729&gt;$A733,$A733-$A732,L$729-SUM(L732:L$732))</f>
        <v>0.5</v>
      </c>
      <c r="M733" s="283"/>
      <c r="N733" s="405">
        <f t="shared" si="315"/>
        <v>0.39</v>
      </c>
      <c r="O733" s="95">
        <f t="shared" si="315"/>
        <v>0.39</v>
      </c>
      <c r="P733" s="95">
        <f t="shared" si="315"/>
        <v>0.39</v>
      </c>
      <c r="Q733" s="95">
        <f t="shared" si="315"/>
        <v>0.39</v>
      </c>
      <c r="R733" s="95">
        <f t="shared" si="315"/>
        <v>0.39</v>
      </c>
      <c r="S733" s="95">
        <f t="shared" si="315"/>
        <v>0.39</v>
      </c>
      <c r="T733" s="95">
        <f t="shared" si="315"/>
        <v>0.39</v>
      </c>
      <c r="U733" s="95">
        <f t="shared" si="315"/>
        <v>0.39</v>
      </c>
      <c r="V733" s="95">
        <f t="shared" si="315"/>
        <v>0.39</v>
      </c>
      <c r="W733" s="95">
        <f t="shared" si="315"/>
        <v>0.39</v>
      </c>
      <c r="X733" s="283"/>
    </row>
    <row r="734" spans="1:24" s="8" customFormat="1" outlineLevel="2">
      <c r="A734" s="416">
        <f>D$53</f>
        <v>2</v>
      </c>
      <c r="B734" s="416">
        <f>B$53</f>
        <v>0.68</v>
      </c>
      <c r="C734" s="411">
        <f>IF(C$729&gt;$A734,$A734-$A733,C$729-SUM(C$732:C733))</f>
        <v>1</v>
      </c>
      <c r="D734" s="416">
        <f>IF(D$729&gt;$A734,$A734-$A733,D$729-SUM(D$732:D733))</f>
        <v>1</v>
      </c>
      <c r="E734" s="416">
        <f>IF(E$729&gt;$A734,$A734-$A733,E$729-SUM(E$732:E733))</f>
        <v>1</v>
      </c>
      <c r="F734" s="416">
        <f>IF(F$729&gt;$A734,$A734-$A733,F$729-SUM(F$732:F733))</f>
        <v>1</v>
      </c>
      <c r="G734" s="416">
        <f>IF(G$729&gt;$A734,$A734-$A733,G$729-SUM(G$732:G733))</f>
        <v>1</v>
      </c>
      <c r="H734" s="416">
        <f>IF(H$729&gt;$A734,$A734-$A733,H$729-SUM(H$732:H733))</f>
        <v>1</v>
      </c>
      <c r="I734" s="416">
        <f>IF(I$729&gt;$A734,$A734-$A733,I$729-SUM(I$732:I733))</f>
        <v>1</v>
      </c>
      <c r="J734" s="416">
        <f>IF(J$729&gt;$A734,$A734-$A733,J$729-SUM(J$732:J733))</f>
        <v>1</v>
      </c>
      <c r="K734" s="416">
        <f>IF(K$729&gt;$A734,$A734-$A733,K$729-SUM(K$732:K733))</f>
        <v>1</v>
      </c>
      <c r="L734" s="416">
        <f>IF(L$729&gt;$A734,$A734-$A733,L$729-SUM(L$732:L733))</f>
        <v>1</v>
      </c>
      <c r="M734" s="283"/>
      <c r="N734" s="405">
        <f t="shared" si="315"/>
        <v>0.68</v>
      </c>
      <c r="O734" s="95">
        <f t="shared" si="315"/>
        <v>0.68</v>
      </c>
      <c r="P734" s="95">
        <f t="shared" si="315"/>
        <v>0.68</v>
      </c>
      <c r="Q734" s="95">
        <f t="shared" si="315"/>
        <v>0.68</v>
      </c>
      <c r="R734" s="95">
        <f t="shared" si="315"/>
        <v>0.68</v>
      </c>
      <c r="S734" s="95">
        <f t="shared" si="315"/>
        <v>0.68</v>
      </c>
      <c r="T734" s="95">
        <f t="shared" si="315"/>
        <v>0.68</v>
      </c>
      <c r="U734" s="95">
        <f t="shared" si="315"/>
        <v>0.68</v>
      </c>
      <c r="V734" s="95">
        <f t="shared" si="315"/>
        <v>0.68</v>
      </c>
      <c r="W734" s="95">
        <f t="shared" si="315"/>
        <v>0.68</v>
      </c>
      <c r="X734" s="283"/>
    </row>
    <row r="735" spans="1:24" s="8" customFormat="1" outlineLevel="2">
      <c r="A735" s="416">
        <f>D$54</f>
        <v>5</v>
      </c>
      <c r="B735" s="416">
        <f>B$54</f>
        <v>0.45</v>
      </c>
      <c r="C735" s="411">
        <f>IF(C$729&gt;$A735,$A735-$A734,C$729-SUM(C$732:C734))</f>
        <v>3</v>
      </c>
      <c r="D735" s="416">
        <f>IF(D$729&gt;$A735,$A735-$A734,D$729-SUM(D$732:D734))</f>
        <v>3</v>
      </c>
      <c r="E735" s="416">
        <f>IF(E$729&gt;$A735,$A735-$A734,E$729-SUM(E$732:E734))</f>
        <v>3</v>
      </c>
      <c r="F735" s="416">
        <f>IF(F$729&gt;$A735,$A735-$A734,F$729-SUM(F$732:F734))</f>
        <v>3</v>
      </c>
      <c r="G735" s="416">
        <f>IF(G$729&gt;$A735,$A735-$A734,G$729-SUM(G$732:G734))</f>
        <v>3</v>
      </c>
      <c r="H735" s="416">
        <f>IF(H$729&gt;$A735,$A735-$A734,H$729-SUM(H$732:H734))</f>
        <v>3</v>
      </c>
      <c r="I735" s="416">
        <f>IF(I$729&gt;$A735,$A735-$A734,I$729-SUM(I$732:I734))</f>
        <v>3</v>
      </c>
      <c r="J735" s="416">
        <f>IF(J$729&gt;$A735,$A735-$A734,J$729-SUM(J$732:J734))</f>
        <v>3</v>
      </c>
      <c r="K735" s="416">
        <f>IF(K$729&gt;$A735,$A735-$A734,K$729-SUM(K$732:K734))</f>
        <v>3</v>
      </c>
      <c r="L735" s="416">
        <f>IF(L$729&gt;$A735,$A735-$A734,L$729-SUM(L$732:L734))</f>
        <v>3</v>
      </c>
      <c r="M735" s="283"/>
      <c r="N735" s="405">
        <f t="shared" si="315"/>
        <v>1.35</v>
      </c>
      <c r="O735" s="95">
        <f t="shared" si="315"/>
        <v>1.35</v>
      </c>
      <c r="P735" s="95">
        <f t="shared" si="315"/>
        <v>1.35</v>
      </c>
      <c r="Q735" s="95">
        <f t="shared" si="315"/>
        <v>1.35</v>
      </c>
      <c r="R735" s="95">
        <f t="shared" si="315"/>
        <v>1.35</v>
      </c>
      <c r="S735" s="95">
        <f t="shared" si="315"/>
        <v>1.35</v>
      </c>
      <c r="T735" s="95">
        <f t="shared" si="315"/>
        <v>1.35</v>
      </c>
      <c r="U735" s="95">
        <f t="shared" si="315"/>
        <v>1.35</v>
      </c>
      <c r="V735" s="95">
        <f t="shared" si="315"/>
        <v>1.35</v>
      </c>
      <c r="W735" s="95">
        <f t="shared" si="315"/>
        <v>1.35</v>
      </c>
      <c r="X735" s="283"/>
    </row>
    <row r="736" spans="1:24" s="8" customFormat="1" outlineLevel="2">
      <c r="A736" s="416">
        <f>D$55</f>
        <v>10</v>
      </c>
      <c r="B736" s="416">
        <f>B$55</f>
        <v>0.42</v>
      </c>
      <c r="C736" s="411">
        <f>IF(C$729&gt;$A736,$A736-$A735,C$729-SUM(C$732:C735))</f>
        <v>5</v>
      </c>
      <c r="D736" s="416">
        <f>IF(D$729&gt;$A736,$A736-$A735,D$729-SUM(D$732:D735))</f>
        <v>5</v>
      </c>
      <c r="E736" s="416">
        <f>IF(E$729&gt;$A736,$A736-$A735,E$729-SUM(E$732:E735))</f>
        <v>5</v>
      </c>
      <c r="F736" s="416">
        <f>IF(F$729&gt;$A736,$A736-$A735,F$729-SUM(F$732:F735))</f>
        <v>5</v>
      </c>
      <c r="G736" s="416">
        <f>IF(G$729&gt;$A736,$A736-$A735,G$729-SUM(G$732:G735))</f>
        <v>5</v>
      </c>
      <c r="H736" s="416">
        <f>IF(H$729&gt;$A736,$A736-$A735,H$729-SUM(H$732:H735))</f>
        <v>5</v>
      </c>
      <c r="I736" s="416">
        <f>IF(I$729&gt;$A736,$A736-$A735,I$729-SUM(I$732:I735))</f>
        <v>5</v>
      </c>
      <c r="J736" s="416">
        <f>IF(J$729&gt;$A736,$A736-$A735,J$729-SUM(J$732:J735))</f>
        <v>5</v>
      </c>
      <c r="K736" s="416">
        <f>IF(K$729&gt;$A736,$A736-$A735,K$729-SUM(K$732:K735))</f>
        <v>5</v>
      </c>
      <c r="L736" s="416">
        <f>IF(L$729&gt;$A736,$A736-$A735,L$729-SUM(L$732:L735))</f>
        <v>5</v>
      </c>
      <c r="M736" s="283"/>
      <c r="N736" s="405">
        <f t="shared" si="315"/>
        <v>2.1</v>
      </c>
      <c r="O736" s="95">
        <f t="shared" si="315"/>
        <v>2.1</v>
      </c>
      <c r="P736" s="95">
        <f t="shared" si="315"/>
        <v>2.1</v>
      </c>
      <c r="Q736" s="95">
        <f t="shared" si="315"/>
        <v>2.1</v>
      </c>
      <c r="R736" s="95">
        <f t="shared" si="315"/>
        <v>2.1</v>
      </c>
      <c r="S736" s="95">
        <f t="shared" si="315"/>
        <v>2.1</v>
      </c>
      <c r="T736" s="95">
        <f t="shared" si="315"/>
        <v>2.1</v>
      </c>
      <c r="U736" s="95">
        <f t="shared" si="315"/>
        <v>2.1</v>
      </c>
      <c r="V736" s="95">
        <f t="shared" si="315"/>
        <v>2.1</v>
      </c>
      <c r="W736" s="95">
        <f t="shared" si="315"/>
        <v>2.1</v>
      </c>
      <c r="X736" s="283"/>
    </row>
    <row r="737" spans="1:24" s="8" customFormat="1" outlineLevel="2">
      <c r="A737" s="416">
        <f>D$56</f>
        <v>20</v>
      </c>
      <c r="B737" s="416">
        <f>B$56</f>
        <v>0.22</v>
      </c>
      <c r="C737" s="411">
        <f>IF(C$729&gt;$A737,$A737-$A736,C$729-SUM(C$732:C736))</f>
        <v>10</v>
      </c>
      <c r="D737" s="416">
        <f>IF(D$729&gt;$A737,$A737-$A736,D$729-SUM(D$732:D736))</f>
        <v>10</v>
      </c>
      <c r="E737" s="416">
        <f>IF(E$729&gt;$A737,$A737-$A736,E$729-SUM(E$732:E736))</f>
        <v>10</v>
      </c>
      <c r="F737" s="416">
        <f>IF(F$729&gt;$A737,$A737-$A736,F$729-SUM(F$732:F736))</f>
        <v>10</v>
      </c>
      <c r="G737" s="416">
        <f>IF(G$729&gt;$A737,$A737-$A736,G$729-SUM(G$732:G736))</f>
        <v>10</v>
      </c>
      <c r="H737" s="416">
        <f>IF(H$729&gt;$A737,$A737-$A736,H$729-SUM(H$732:H736))</f>
        <v>10</v>
      </c>
      <c r="I737" s="416">
        <f>IF(I$729&gt;$A737,$A737-$A736,I$729-SUM(I$732:I736))</f>
        <v>10</v>
      </c>
      <c r="J737" s="416">
        <f>IF(J$729&gt;$A737,$A737-$A736,J$729-SUM(J$732:J736))</f>
        <v>10</v>
      </c>
      <c r="K737" s="416">
        <f>IF(K$729&gt;$A737,$A737-$A736,K$729-SUM(K$732:K736))</f>
        <v>10</v>
      </c>
      <c r="L737" s="416">
        <f>IF(L$729&gt;$A737,$A737-$A736,L$729-SUM(L$732:L736))</f>
        <v>10</v>
      </c>
      <c r="M737" s="283"/>
      <c r="N737" s="405">
        <f t="shared" si="315"/>
        <v>2.2000000000000002</v>
      </c>
      <c r="O737" s="95">
        <f t="shared" si="315"/>
        <v>2.2000000000000002</v>
      </c>
      <c r="P737" s="95">
        <f t="shared" si="315"/>
        <v>2.2000000000000002</v>
      </c>
      <c r="Q737" s="95">
        <f t="shared" si="315"/>
        <v>2.2000000000000002</v>
      </c>
      <c r="R737" s="95">
        <f t="shared" si="315"/>
        <v>2.2000000000000002</v>
      </c>
      <c r="S737" s="95">
        <f t="shared" si="315"/>
        <v>2.2000000000000002</v>
      </c>
      <c r="T737" s="95">
        <f t="shared" si="315"/>
        <v>2.2000000000000002</v>
      </c>
      <c r="U737" s="95">
        <f t="shared" si="315"/>
        <v>2.2000000000000002</v>
      </c>
      <c r="V737" s="95">
        <f t="shared" si="315"/>
        <v>2.2000000000000002</v>
      </c>
      <c r="W737" s="95">
        <f t="shared" si="315"/>
        <v>2.2000000000000002</v>
      </c>
      <c r="X737" s="283"/>
    </row>
    <row r="738" spans="1:24" s="8" customFormat="1" outlineLevel="2">
      <c r="A738" s="416">
        <f>D$57</f>
        <v>50</v>
      </c>
      <c r="B738" s="416">
        <f>B$57</f>
        <v>0.2</v>
      </c>
      <c r="C738" s="411">
        <f>IF(C$729&gt;$A738,$A738-$A737,C$729-SUM(C$732:C737))</f>
        <v>24.700000000000003</v>
      </c>
      <c r="D738" s="416">
        <f>IF(D$729&gt;$A738,$A738-$A737,D$729-SUM(D$732:D737))</f>
        <v>18.799999999999997</v>
      </c>
      <c r="E738" s="416">
        <f>IF(E$729&gt;$A738,$A738-$A737,E$729-SUM(E$732:E737))</f>
        <v>24.799999999999997</v>
      </c>
      <c r="F738" s="416">
        <f>IF(F$729&gt;$A738,$A738-$A737,F$729-SUM(F$732:F737))</f>
        <v>30</v>
      </c>
      <c r="G738" s="416">
        <f>IF(G$729&gt;$A738,$A738-$A737,G$729-SUM(G$732:G737))</f>
        <v>30</v>
      </c>
      <c r="H738" s="416">
        <f>IF(H$729&gt;$A738,$A738-$A737,H$729-SUM(H$732:H737))</f>
        <v>30</v>
      </c>
      <c r="I738" s="416">
        <f>IF(I$729&gt;$A738,$A738-$A737,I$729-SUM(I$732:I737))</f>
        <v>30</v>
      </c>
      <c r="J738" s="416">
        <f>IF(J$729&gt;$A738,$A738-$A737,J$729-SUM(J$732:J737))</f>
        <v>30</v>
      </c>
      <c r="K738" s="416">
        <f>IF(K$729&gt;$A738,$A738-$A737,K$729-SUM(K$732:K737))</f>
        <v>30</v>
      </c>
      <c r="L738" s="416">
        <f>IF(L$729&gt;$A738,$A738-$A737,L$729-SUM(L$732:L737))</f>
        <v>30</v>
      </c>
      <c r="M738" s="283"/>
      <c r="N738" s="405">
        <f t="shared" si="315"/>
        <v>4.9400000000000013</v>
      </c>
      <c r="O738" s="95">
        <f t="shared" si="315"/>
        <v>3.76</v>
      </c>
      <c r="P738" s="95">
        <f t="shared" si="315"/>
        <v>4.96</v>
      </c>
      <c r="Q738" s="95">
        <f t="shared" si="315"/>
        <v>6</v>
      </c>
      <c r="R738" s="95">
        <f t="shared" si="315"/>
        <v>6</v>
      </c>
      <c r="S738" s="95">
        <f t="shared" si="315"/>
        <v>6</v>
      </c>
      <c r="T738" s="95">
        <f t="shared" si="315"/>
        <v>6</v>
      </c>
      <c r="U738" s="95">
        <f t="shared" si="315"/>
        <v>6</v>
      </c>
      <c r="V738" s="95">
        <f t="shared" si="315"/>
        <v>6</v>
      </c>
      <c r="W738" s="95">
        <f t="shared" si="315"/>
        <v>6</v>
      </c>
      <c r="X738" s="283"/>
    </row>
    <row r="739" spans="1:24" s="8" customFormat="1" outlineLevel="2">
      <c r="A739" s="416">
        <f>D$58</f>
        <v>75</v>
      </c>
      <c r="B739" s="416">
        <f>B$58</f>
        <v>0.15</v>
      </c>
      <c r="C739" s="411">
        <f>IF(C$729&gt;$A739,$A739-$A738,C$729-SUM(C$732:C738))</f>
        <v>0</v>
      </c>
      <c r="D739" s="416">
        <f>IF(D$729&gt;$A739,$A739-$A738,D$729-SUM(D$732:D738))</f>
        <v>0</v>
      </c>
      <c r="E739" s="416">
        <f>IF(E$729&gt;$A739,$A739-$A738,E$729-SUM(E$732:E738))</f>
        <v>0</v>
      </c>
      <c r="F739" s="416">
        <f>IF(F$729&gt;$A739,$A739-$A738,F$729-SUM(F$732:F738))</f>
        <v>25</v>
      </c>
      <c r="G739" s="416">
        <f>IF(G$729&gt;$A739,$A739-$A738,G$729-SUM(G$732:G738))</f>
        <v>25</v>
      </c>
      <c r="H739" s="416">
        <f>IF(H$729&gt;$A739,$A739-$A738,H$729-SUM(H$732:H738))</f>
        <v>25</v>
      </c>
      <c r="I739" s="416">
        <f>IF(I$729&gt;$A739,$A739-$A738,I$729-SUM(I$732:I738))</f>
        <v>25</v>
      </c>
      <c r="J739" s="416">
        <f>IF(J$729&gt;$A739,$A739-$A738,J$729-SUM(J$732:J738))</f>
        <v>25</v>
      </c>
      <c r="K739" s="416">
        <f>IF(K$729&gt;$A739,$A739-$A738,K$729-SUM(K$732:K738))</f>
        <v>25</v>
      </c>
      <c r="L739" s="416">
        <f>IF(L$729&gt;$A739,$A739-$A738,L$729-SUM(L$732:L738))</f>
        <v>25</v>
      </c>
      <c r="M739" s="283"/>
      <c r="N739" s="405">
        <f t="shared" si="315"/>
        <v>0</v>
      </c>
      <c r="O739" s="95">
        <f t="shared" si="315"/>
        <v>0</v>
      </c>
      <c r="P739" s="95">
        <f t="shared" si="315"/>
        <v>0</v>
      </c>
      <c r="Q739" s="95">
        <f t="shared" si="315"/>
        <v>3.75</v>
      </c>
      <c r="R739" s="95">
        <f t="shared" si="315"/>
        <v>3.75</v>
      </c>
      <c r="S739" s="95">
        <f t="shared" si="315"/>
        <v>3.75</v>
      </c>
      <c r="T739" s="95">
        <f t="shared" si="315"/>
        <v>3.75</v>
      </c>
      <c r="U739" s="95">
        <f t="shared" si="315"/>
        <v>3.75</v>
      </c>
      <c r="V739" s="95">
        <f t="shared" si="315"/>
        <v>3.75</v>
      </c>
      <c r="W739" s="95">
        <f t="shared" si="315"/>
        <v>3.75</v>
      </c>
      <c r="X739" s="283"/>
    </row>
    <row r="740" spans="1:24" s="8" customFormat="1" outlineLevel="2">
      <c r="A740" s="416">
        <f>D$59</f>
        <v>9999</v>
      </c>
      <c r="B740" s="416">
        <f>B$59</f>
        <v>0.1</v>
      </c>
      <c r="C740" s="411">
        <f>IF(C$729&gt;$A740,$A740-$A739,C$729-SUM(C$732:C739))</f>
        <v>0</v>
      </c>
      <c r="D740" s="416">
        <f>IF(D$729&gt;$A740,$A740-$A739,D$729-SUM(D$732:D739))</f>
        <v>0</v>
      </c>
      <c r="E740" s="416">
        <f>IF(E$729&gt;$A740,$A740-$A739,E$729-SUM(E$732:E739))</f>
        <v>0</v>
      </c>
      <c r="F740" s="416">
        <f>IF(F$729&gt;$A740,$A740-$A739,F$729-SUM(F$732:F739))</f>
        <v>42.5</v>
      </c>
      <c r="G740" s="416">
        <f>IF(G$729&gt;$A740,$A740-$A739,G$729-SUM(G$732:G739))</f>
        <v>112.63752858474561</v>
      </c>
      <c r="H740" s="416">
        <f>IF(H$729&gt;$A740,$A740-$A739,H$729-SUM(H$732:H739))</f>
        <v>135.35116198367149</v>
      </c>
      <c r="I740" s="416">
        <f>IF(I$729&gt;$A740,$A740-$A739,I$729-SUM(I$732:I739))</f>
        <v>235.56969239923308</v>
      </c>
      <c r="J740" s="416">
        <f>IF(J$729&gt;$A740,$A740-$A739,J$729-SUM(J$732:J739))</f>
        <v>47.51427207801396</v>
      </c>
      <c r="K740" s="416">
        <f>IF(K$729&gt;$A740,$A740-$A739,K$729-SUM(K$732:K739))</f>
        <v>78.700000000000045</v>
      </c>
      <c r="L740" s="416">
        <f>IF(L$729&gt;$A740,$A740-$A739,L$729-SUM(L$732:L739))</f>
        <v>59.699999999999989</v>
      </c>
      <c r="M740" s="283"/>
      <c r="N740" s="405">
        <f t="shared" si="315"/>
        <v>0</v>
      </c>
      <c r="O740" s="95">
        <f t="shared" si="315"/>
        <v>0</v>
      </c>
      <c r="P740" s="95">
        <f t="shared" si="315"/>
        <v>0</v>
      </c>
      <c r="Q740" s="95">
        <f t="shared" si="315"/>
        <v>4.25</v>
      </c>
      <c r="R740" s="95">
        <f t="shared" si="315"/>
        <v>11.263752858474561</v>
      </c>
      <c r="S740" s="95">
        <f t="shared" si="315"/>
        <v>13.535116198367149</v>
      </c>
      <c r="T740" s="95">
        <f t="shared" si="315"/>
        <v>23.556969239923308</v>
      </c>
      <c r="U740" s="95">
        <f t="shared" si="315"/>
        <v>4.7514272078013962</v>
      </c>
      <c r="V740" s="95">
        <f t="shared" si="315"/>
        <v>7.8700000000000045</v>
      </c>
      <c r="W740" s="95">
        <f t="shared" si="315"/>
        <v>5.9699999999999989</v>
      </c>
      <c r="X740" s="283"/>
    </row>
    <row r="741" spans="1:24" s="8" customFormat="1" outlineLevel="1">
      <c r="A741" s="404"/>
      <c r="B741" s="417" t="str">
        <f>CONCATENATE(B728," Total")</f>
        <v>Other Chinese Total</v>
      </c>
      <c r="C741" s="418">
        <f>SUM(C732:C740)</f>
        <v>44.7</v>
      </c>
      <c r="D741" s="419">
        <f t="shared" ref="D741:L741" si="316">SUM(D732:D740)</f>
        <v>38.799999999999997</v>
      </c>
      <c r="E741" s="419">
        <f t="shared" si="316"/>
        <v>44.8</v>
      </c>
      <c r="F741" s="419">
        <f t="shared" si="316"/>
        <v>117.5</v>
      </c>
      <c r="G741" s="419">
        <f t="shared" si="316"/>
        <v>187.63752858474561</v>
      </c>
      <c r="H741" s="419">
        <f t="shared" si="316"/>
        <v>210.35116198367149</v>
      </c>
      <c r="I741" s="419">
        <f t="shared" si="316"/>
        <v>310.56969239923308</v>
      </c>
      <c r="J741" s="419">
        <f t="shared" si="316"/>
        <v>122.51427207801396</v>
      </c>
      <c r="K741" s="419">
        <f t="shared" si="316"/>
        <v>153.70000000000005</v>
      </c>
      <c r="L741" s="419">
        <f t="shared" si="316"/>
        <v>134.69999999999999</v>
      </c>
      <c r="M741" s="283"/>
      <c r="N741" s="420">
        <f>SUM(N732:N740)</f>
        <v>12.150000000000002</v>
      </c>
      <c r="O741" s="420">
        <f t="shared" ref="O741:W741" si="317">SUM(O732:O740)</f>
        <v>10.969999999999999</v>
      </c>
      <c r="P741" s="420">
        <f t="shared" si="317"/>
        <v>12.17</v>
      </c>
      <c r="Q741" s="420">
        <f t="shared" si="317"/>
        <v>21.21</v>
      </c>
      <c r="R741" s="420">
        <f t="shared" si="317"/>
        <v>28.223752858474562</v>
      </c>
      <c r="S741" s="420">
        <f t="shared" si="317"/>
        <v>30.49511619836715</v>
      </c>
      <c r="T741" s="420">
        <f t="shared" si="317"/>
        <v>40.516969239923313</v>
      </c>
      <c r="U741" s="420">
        <f t="shared" si="317"/>
        <v>21.711427207801396</v>
      </c>
      <c r="V741" s="420">
        <f t="shared" si="317"/>
        <v>24.830000000000005</v>
      </c>
      <c r="W741" s="420">
        <f t="shared" si="317"/>
        <v>22.93</v>
      </c>
      <c r="X741" s="283"/>
    </row>
    <row r="742" spans="1:24" s="8" customFormat="1" outlineLevel="1">
      <c r="B742" s="421" t="s">
        <v>778</v>
      </c>
      <c r="C742" s="422">
        <f t="shared" ref="C742:L742" si="318">C741-C729</f>
        <v>0</v>
      </c>
      <c r="D742" s="423">
        <f t="shared" si="318"/>
        <v>0</v>
      </c>
      <c r="E742" s="423">
        <f t="shared" si="318"/>
        <v>0</v>
      </c>
      <c r="F742" s="423">
        <f t="shared" si="318"/>
        <v>0</v>
      </c>
      <c r="G742" s="423">
        <f t="shared" si="318"/>
        <v>0</v>
      </c>
      <c r="H742" s="423">
        <f t="shared" si="318"/>
        <v>0</v>
      </c>
      <c r="I742" s="423">
        <f t="shared" si="318"/>
        <v>0</v>
      </c>
      <c r="J742" s="423">
        <f t="shared" si="318"/>
        <v>0</v>
      </c>
      <c r="K742" s="423">
        <f t="shared" si="318"/>
        <v>0</v>
      </c>
      <c r="L742" s="423">
        <f t="shared" si="318"/>
        <v>0</v>
      </c>
      <c r="M742" s="283"/>
      <c r="N742" s="283"/>
      <c r="O742" s="283"/>
      <c r="P742" s="283"/>
      <c r="Q742" s="283"/>
      <c r="R742" s="283"/>
      <c r="S742" s="283"/>
      <c r="T742" s="283"/>
      <c r="U742" s="283"/>
      <c r="V742" s="283"/>
      <c r="W742" s="283"/>
      <c r="X742" s="283"/>
    </row>
    <row r="743" spans="1:24" s="8" customFormat="1" outlineLevel="1">
      <c r="B743" s="283"/>
      <c r="C743" s="283"/>
      <c r="M743" s="283"/>
      <c r="X743" s="283"/>
    </row>
    <row r="744" spans="1:24" s="8" customFormat="1" outlineLevel="1" collapsed="1">
      <c r="A744" s="8">
        <f>A728+1</f>
        <v>36</v>
      </c>
      <c r="B744" s="424" t="str">
        <f>A175</f>
        <v>Others</v>
      </c>
      <c r="C744" s="80">
        <v>2007</v>
      </c>
      <c r="D744" s="66">
        <f>C744+1</f>
        <v>2008</v>
      </c>
      <c r="E744" s="66">
        <f t="shared" ref="E744:L744" si="319">D744+1</f>
        <v>2009</v>
      </c>
      <c r="F744" s="66">
        <f t="shared" si="319"/>
        <v>2010</v>
      </c>
      <c r="G744" s="66">
        <f t="shared" si="319"/>
        <v>2011</v>
      </c>
      <c r="H744" s="66">
        <f t="shared" si="319"/>
        <v>2012</v>
      </c>
      <c r="I744" s="66">
        <f t="shared" si="319"/>
        <v>2013</v>
      </c>
      <c r="J744" s="66">
        <f t="shared" si="319"/>
        <v>2014</v>
      </c>
      <c r="K744" s="66">
        <f t="shared" si="319"/>
        <v>2015</v>
      </c>
      <c r="L744" s="66">
        <f t="shared" si="319"/>
        <v>2016</v>
      </c>
      <c r="M744" s="283"/>
      <c r="N744" s="168">
        <f t="shared" ref="N744:W744" si="320">C744</f>
        <v>2007</v>
      </c>
      <c r="O744" s="66">
        <f t="shared" si="320"/>
        <v>2008</v>
      </c>
      <c r="P744" s="66">
        <f t="shared" si="320"/>
        <v>2009</v>
      </c>
      <c r="Q744" s="66">
        <f t="shared" si="320"/>
        <v>2010</v>
      </c>
      <c r="R744" s="66">
        <f t="shared" si="320"/>
        <v>2011</v>
      </c>
      <c r="S744" s="66">
        <f t="shared" si="320"/>
        <v>2012</v>
      </c>
      <c r="T744" s="66">
        <f t="shared" si="320"/>
        <v>2013</v>
      </c>
      <c r="U744" s="66">
        <f t="shared" si="320"/>
        <v>2014</v>
      </c>
      <c r="V744" s="66">
        <f t="shared" si="320"/>
        <v>2015</v>
      </c>
      <c r="W744" s="66">
        <f t="shared" si="320"/>
        <v>2016</v>
      </c>
      <c r="X744" s="283"/>
    </row>
    <row r="745" spans="1:24" s="8" customFormat="1" outlineLevel="2">
      <c r="B745" s="8" t="s">
        <v>1348</v>
      </c>
      <c r="C745" s="411">
        <f t="shared" ref="C745:L745" si="321">VLOOKUP($B744,$A$140:$K$175,C$183+1,FALSE)</f>
        <v>8.4999999999999716</v>
      </c>
      <c r="D745" s="412">
        <f t="shared" si="321"/>
        <v>13.449999999999909</v>
      </c>
      <c r="E745" s="412">
        <f t="shared" si="321"/>
        <v>15.800000000000034</v>
      </c>
      <c r="F745" s="412">
        <f t="shared" si="321"/>
        <v>24.704909000000082</v>
      </c>
      <c r="G745" s="412">
        <f t="shared" si="321"/>
        <v>43.731773967721637</v>
      </c>
      <c r="H745" s="412">
        <f t="shared" si="321"/>
        <v>71.316146999999845</v>
      </c>
      <c r="I745" s="412">
        <f t="shared" si="321"/>
        <v>111.84994000000029</v>
      </c>
      <c r="J745" s="412">
        <f t="shared" si="321"/>
        <v>194.43356399999965</v>
      </c>
      <c r="K745" s="412">
        <f t="shared" si="321"/>
        <v>225.01047758850763</v>
      </c>
      <c r="L745" s="412">
        <f t="shared" si="321"/>
        <v>239.75973199999967</v>
      </c>
      <c r="M745" s="283"/>
      <c r="N745" s="283"/>
      <c r="X745" s="283"/>
    </row>
    <row r="746" spans="1:24" s="8" customFormat="1" outlineLevel="2">
      <c r="C746" s="413"/>
      <c r="D746" s="414"/>
      <c r="E746" s="414"/>
      <c r="F746" s="414"/>
      <c r="G746" s="414"/>
      <c r="H746" s="414"/>
      <c r="I746" s="414"/>
      <c r="J746" s="414"/>
      <c r="K746" s="414"/>
      <c r="L746" s="414"/>
      <c r="M746" s="283"/>
      <c r="N746" s="283"/>
      <c r="X746" s="283"/>
    </row>
    <row r="747" spans="1:24" s="8" customFormat="1" outlineLevel="2">
      <c r="A747" s="66" t="s">
        <v>1349</v>
      </c>
      <c r="B747" s="66" t="s">
        <v>1350</v>
      </c>
      <c r="C747" s="415"/>
      <c r="F747" s="9"/>
      <c r="M747" s="283"/>
      <c r="N747" s="283"/>
      <c r="X747" s="283"/>
    </row>
    <row r="748" spans="1:24" s="8" customFormat="1" outlineLevel="2">
      <c r="A748" s="416">
        <f>D$51</f>
        <v>0.5</v>
      </c>
      <c r="B748" s="416">
        <f>B$51</f>
        <v>0.98</v>
      </c>
      <c r="C748" s="411">
        <f>IF(C$745&gt;$A748,$A748,C$745)</f>
        <v>0.5</v>
      </c>
      <c r="D748" s="416">
        <f t="shared" ref="D748:L748" si="322">IF(D$745&gt;$A748,$A748,D$745)</f>
        <v>0.5</v>
      </c>
      <c r="E748" s="416">
        <f t="shared" si="322"/>
        <v>0.5</v>
      </c>
      <c r="F748" s="416">
        <f t="shared" si="322"/>
        <v>0.5</v>
      </c>
      <c r="G748" s="416">
        <f t="shared" si="322"/>
        <v>0.5</v>
      </c>
      <c r="H748" s="416">
        <f t="shared" si="322"/>
        <v>0.5</v>
      </c>
      <c r="I748" s="416">
        <f t="shared" si="322"/>
        <v>0.5</v>
      </c>
      <c r="J748" s="416">
        <f t="shared" si="322"/>
        <v>0.5</v>
      </c>
      <c r="K748" s="416">
        <f t="shared" si="322"/>
        <v>0.5</v>
      </c>
      <c r="L748" s="416">
        <f t="shared" si="322"/>
        <v>0.5</v>
      </c>
      <c r="M748" s="283"/>
      <c r="N748" s="405">
        <f t="shared" ref="N748:W756" si="323">C748*$B748</f>
        <v>0.49</v>
      </c>
      <c r="O748" s="95">
        <f t="shared" si="323"/>
        <v>0.49</v>
      </c>
      <c r="P748" s="95">
        <f t="shared" si="323"/>
        <v>0.49</v>
      </c>
      <c r="Q748" s="95">
        <f t="shared" si="323"/>
        <v>0.49</v>
      </c>
      <c r="R748" s="95">
        <f t="shared" si="323"/>
        <v>0.49</v>
      </c>
      <c r="S748" s="95">
        <f t="shared" si="323"/>
        <v>0.49</v>
      </c>
      <c r="T748" s="95">
        <f t="shared" si="323"/>
        <v>0.49</v>
      </c>
      <c r="U748" s="95">
        <f t="shared" si="323"/>
        <v>0.49</v>
      </c>
      <c r="V748" s="95">
        <f t="shared" si="323"/>
        <v>0.49</v>
      </c>
      <c r="W748" s="95">
        <f t="shared" si="323"/>
        <v>0.49</v>
      </c>
      <c r="X748" s="283"/>
    </row>
    <row r="749" spans="1:24" s="8" customFormat="1" outlineLevel="2">
      <c r="A749" s="416">
        <f>D$52</f>
        <v>1</v>
      </c>
      <c r="B749" s="416">
        <f>B$52</f>
        <v>0.78</v>
      </c>
      <c r="C749" s="411">
        <f>IF(C$745&gt;$A749,$A749-$A748,C$745-SUM(C748:C$748))</f>
        <v>0.5</v>
      </c>
      <c r="D749" s="416">
        <f>IF(D$745&gt;$A749,$A749-$A748,D$745-SUM(D748:D$748))</f>
        <v>0.5</v>
      </c>
      <c r="E749" s="416">
        <f>IF(E$745&gt;$A749,$A749-$A748,E$745-SUM(E748:E$748))</f>
        <v>0.5</v>
      </c>
      <c r="F749" s="416">
        <f>IF(F$745&gt;$A749,$A749-$A748,F$745-SUM(F748:F$748))</f>
        <v>0.5</v>
      </c>
      <c r="G749" s="416">
        <f>IF(G$745&gt;$A749,$A749-$A748,G$745-SUM(G748:G$748))</f>
        <v>0.5</v>
      </c>
      <c r="H749" s="416">
        <f>IF(H$745&gt;$A749,$A749-$A748,H$745-SUM(H748:H$748))</f>
        <v>0.5</v>
      </c>
      <c r="I749" s="416">
        <f>IF(I$745&gt;$A749,$A749-$A748,I$745-SUM(I748:I$748))</f>
        <v>0.5</v>
      </c>
      <c r="J749" s="416">
        <f>IF(J$745&gt;$A749,$A749-$A748,J$745-SUM(J748:J$748))</f>
        <v>0.5</v>
      </c>
      <c r="K749" s="416">
        <f>IF(K$745&gt;$A749,$A749-$A748,K$745-SUM(K748:K$748))</f>
        <v>0.5</v>
      </c>
      <c r="L749" s="416">
        <f>IF(L$745&gt;$A749,$A749-$A748,L$745-SUM(L748:L$748))</f>
        <v>0.5</v>
      </c>
      <c r="M749" s="283"/>
      <c r="N749" s="405">
        <f t="shared" si="323"/>
        <v>0.39</v>
      </c>
      <c r="O749" s="95">
        <f t="shared" si="323"/>
        <v>0.39</v>
      </c>
      <c r="P749" s="95">
        <f t="shared" si="323"/>
        <v>0.39</v>
      </c>
      <c r="Q749" s="95">
        <f t="shared" si="323"/>
        <v>0.39</v>
      </c>
      <c r="R749" s="95">
        <f t="shared" si="323"/>
        <v>0.39</v>
      </c>
      <c r="S749" s="95">
        <f t="shared" si="323"/>
        <v>0.39</v>
      </c>
      <c r="T749" s="95">
        <f t="shared" si="323"/>
        <v>0.39</v>
      </c>
      <c r="U749" s="95">
        <f t="shared" si="323"/>
        <v>0.39</v>
      </c>
      <c r="V749" s="95">
        <f t="shared" si="323"/>
        <v>0.39</v>
      </c>
      <c r="W749" s="95">
        <f t="shared" si="323"/>
        <v>0.39</v>
      </c>
      <c r="X749" s="283"/>
    </row>
    <row r="750" spans="1:24" s="8" customFormat="1" outlineLevel="2">
      <c r="A750" s="416">
        <f>D$53</f>
        <v>2</v>
      </c>
      <c r="B750" s="416">
        <f>B$53</f>
        <v>0.68</v>
      </c>
      <c r="C750" s="411">
        <f>IF(C$745&gt;$A750,$A750-$A749,C$745-SUM(C$748:C749))</f>
        <v>1</v>
      </c>
      <c r="D750" s="416">
        <f>IF(D$745&gt;$A750,$A750-$A749,D$745-SUM(D$748:D749))</f>
        <v>1</v>
      </c>
      <c r="E750" s="416">
        <f>IF(E$745&gt;$A750,$A750-$A749,E$745-SUM(E$748:E749))</f>
        <v>1</v>
      </c>
      <c r="F750" s="416">
        <f>IF(F$745&gt;$A750,$A750-$A749,F$745-SUM(F$748:F749))</f>
        <v>1</v>
      </c>
      <c r="G750" s="416">
        <f>IF(G$745&gt;$A750,$A750-$A749,G$745-SUM(G$748:G749))</f>
        <v>1</v>
      </c>
      <c r="H750" s="416">
        <f>IF(H$745&gt;$A750,$A750-$A749,H$745-SUM(H$748:H749))</f>
        <v>1</v>
      </c>
      <c r="I750" s="416">
        <f>IF(I$745&gt;$A750,$A750-$A749,I$745-SUM(I$748:I749))</f>
        <v>1</v>
      </c>
      <c r="J750" s="416">
        <f>IF(J$745&gt;$A750,$A750-$A749,J$745-SUM(J$748:J749))</f>
        <v>1</v>
      </c>
      <c r="K750" s="416">
        <f>IF(K$745&gt;$A750,$A750-$A749,K$745-SUM(K$748:K749))</f>
        <v>1</v>
      </c>
      <c r="L750" s="416">
        <f>IF(L$745&gt;$A750,$A750-$A749,L$745-SUM(L$748:L749))</f>
        <v>1</v>
      </c>
      <c r="M750" s="283"/>
      <c r="N750" s="405">
        <f t="shared" si="323"/>
        <v>0.68</v>
      </c>
      <c r="O750" s="95">
        <f t="shared" si="323"/>
        <v>0.68</v>
      </c>
      <c r="P750" s="95">
        <f t="shared" si="323"/>
        <v>0.68</v>
      </c>
      <c r="Q750" s="95">
        <f t="shared" si="323"/>
        <v>0.68</v>
      </c>
      <c r="R750" s="95">
        <f t="shared" si="323"/>
        <v>0.68</v>
      </c>
      <c r="S750" s="95">
        <f t="shared" si="323"/>
        <v>0.68</v>
      </c>
      <c r="T750" s="95">
        <f t="shared" si="323"/>
        <v>0.68</v>
      </c>
      <c r="U750" s="95">
        <f t="shared" si="323"/>
        <v>0.68</v>
      </c>
      <c r="V750" s="95">
        <f t="shared" si="323"/>
        <v>0.68</v>
      </c>
      <c r="W750" s="95">
        <f t="shared" si="323"/>
        <v>0.68</v>
      </c>
      <c r="X750" s="283"/>
    </row>
    <row r="751" spans="1:24" s="8" customFormat="1" outlineLevel="2">
      <c r="A751" s="416">
        <f>D$54</f>
        <v>5</v>
      </c>
      <c r="B751" s="416">
        <f>B$54</f>
        <v>0.45</v>
      </c>
      <c r="C751" s="411">
        <f>IF(C$745&gt;$A751,$A751-$A750,C$745-SUM(C$748:C750))</f>
        <v>3</v>
      </c>
      <c r="D751" s="416">
        <f>IF(D$745&gt;$A751,$A751-$A750,D$745-SUM(D$748:D750))</f>
        <v>3</v>
      </c>
      <c r="E751" s="416">
        <f>IF(E$745&gt;$A751,$A751-$A750,E$745-SUM(E$748:E750))</f>
        <v>3</v>
      </c>
      <c r="F751" s="416">
        <f>IF(F$745&gt;$A751,$A751-$A750,F$745-SUM(F$748:F750))</f>
        <v>3</v>
      </c>
      <c r="G751" s="416">
        <f>IF(G$745&gt;$A751,$A751-$A750,G$745-SUM(G$748:G750))</f>
        <v>3</v>
      </c>
      <c r="H751" s="416">
        <f>IF(H$745&gt;$A751,$A751-$A750,H$745-SUM(H$748:H750))</f>
        <v>3</v>
      </c>
      <c r="I751" s="416">
        <f>IF(I$745&gt;$A751,$A751-$A750,I$745-SUM(I$748:I750))</f>
        <v>3</v>
      </c>
      <c r="J751" s="416">
        <f>IF(J$745&gt;$A751,$A751-$A750,J$745-SUM(J$748:J750))</f>
        <v>3</v>
      </c>
      <c r="K751" s="416">
        <f>IF(K$745&gt;$A751,$A751-$A750,K$745-SUM(K$748:K750))</f>
        <v>3</v>
      </c>
      <c r="L751" s="416">
        <f>IF(L$745&gt;$A751,$A751-$A750,L$745-SUM(L$748:L750))</f>
        <v>3</v>
      </c>
      <c r="M751" s="283"/>
      <c r="N751" s="405">
        <f t="shared" si="323"/>
        <v>1.35</v>
      </c>
      <c r="O751" s="95">
        <f t="shared" si="323"/>
        <v>1.35</v>
      </c>
      <c r="P751" s="95">
        <f t="shared" si="323"/>
        <v>1.35</v>
      </c>
      <c r="Q751" s="95">
        <f t="shared" si="323"/>
        <v>1.35</v>
      </c>
      <c r="R751" s="95">
        <f t="shared" si="323"/>
        <v>1.35</v>
      </c>
      <c r="S751" s="95">
        <f t="shared" si="323"/>
        <v>1.35</v>
      </c>
      <c r="T751" s="95">
        <f t="shared" si="323"/>
        <v>1.35</v>
      </c>
      <c r="U751" s="95">
        <f t="shared" si="323"/>
        <v>1.35</v>
      </c>
      <c r="V751" s="95">
        <f t="shared" si="323"/>
        <v>1.35</v>
      </c>
      <c r="W751" s="95">
        <f t="shared" si="323"/>
        <v>1.35</v>
      </c>
      <c r="X751" s="283"/>
    </row>
    <row r="752" spans="1:24" s="8" customFormat="1" outlineLevel="2">
      <c r="A752" s="416">
        <f>D$55</f>
        <v>10</v>
      </c>
      <c r="B752" s="416">
        <f>B$55</f>
        <v>0.42</v>
      </c>
      <c r="C752" s="411">
        <f>IF(C$745&gt;$A752,$A752-$A751,C$745-SUM(C$748:C751))</f>
        <v>3.4999999999999716</v>
      </c>
      <c r="D752" s="416">
        <f>IF(D$745&gt;$A752,$A752-$A751,D$745-SUM(D$748:D751))</f>
        <v>5</v>
      </c>
      <c r="E752" s="416">
        <f>IF(E$745&gt;$A752,$A752-$A751,E$745-SUM(E$748:E751))</f>
        <v>5</v>
      </c>
      <c r="F752" s="416">
        <f>IF(F$745&gt;$A752,$A752-$A751,F$745-SUM(F$748:F751))</f>
        <v>5</v>
      </c>
      <c r="G752" s="416">
        <f>IF(G$745&gt;$A752,$A752-$A751,G$745-SUM(G$748:G751))</f>
        <v>5</v>
      </c>
      <c r="H752" s="416">
        <f>IF(H$745&gt;$A752,$A752-$A751,H$745-SUM(H$748:H751))</f>
        <v>5</v>
      </c>
      <c r="I752" s="416">
        <f>IF(I$745&gt;$A752,$A752-$A751,I$745-SUM(I$748:I751))</f>
        <v>5</v>
      </c>
      <c r="J752" s="416">
        <f>IF(J$745&gt;$A752,$A752-$A751,J$745-SUM(J$748:J751))</f>
        <v>5</v>
      </c>
      <c r="K752" s="416">
        <f>IF(K$745&gt;$A752,$A752-$A751,K$745-SUM(K$748:K751))</f>
        <v>5</v>
      </c>
      <c r="L752" s="416">
        <f>IF(L$745&gt;$A752,$A752-$A751,L$745-SUM(L$748:L751))</f>
        <v>5</v>
      </c>
      <c r="M752" s="283"/>
      <c r="N752" s="405">
        <f t="shared" si="323"/>
        <v>1.469999999999988</v>
      </c>
      <c r="O752" s="95">
        <f t="shared" si="323"/>
        <v>2.1</v>
      </c>
      <c r="P752" s="95">
        <f t="shared" si="323"/>
        <v>2.1</v>
      </c>
      <c r="Q752" s="95">
        <f t="shared" si="323"/>
        <v>2.1</v>
      </c>
      <c r="R752" s="95">
        <f t="shared" si="323"/>
        <v>2.1</v>
      </c>
      <c r="S752" s="95">
        <f t="shared" si="323"/>
        <v>2.1</v>
      </c>
      <c r="T752" s="95">
        <f t="shared" si="323"/>
        <v>2.1</v>
      </c>
      <c r="U752" s="95">
        <f t="shared" si="323"/>
        <v>2.1</v>
      </c>
      <c r="V752" s="95">
        <f t="shared" si="323"/>
        <v>2.1</v>
      </c>
      <c r="W752" s="95">
        <f t="shared" si="323"/>
        <v>2.1</v>
      </c>
      <c r="X752" s="283"/>
    </row>
    <row r="753" spans="1:24" s="8" customFormat="1" outlineLevel="2">
      <c r="A753" s="416">
        <f>D$56</f>
        <v>20</v>
      </c>
      <c r="B753" s="416">
        <f>B$56</f>
        <v>0.22</v>
      </c>
      <c r="C753" s="411">
        <f>IF(C$745&gt;$A753,$A753-$A752,C$745-SUM(C$748:C752))</f>
        <v>0</v>
      </c>
      <c r="D753" s="416">
        <f>IF(D$745&gt;$A753,$A753-$A752,D$745-SUM(D$748:D752))</f>
        <v>3.4499999999999087</v>
      </c>
      <c r="E753" s="416">
        <f>IF(E$745&gt;$A753,$A753-$A752,E$745-SUM(E$748:E752))</f>
        <v>5.8000000000000345</v>
      </c>
      <c r="F753" s="416">
        <f>IF(F$745&gt;$A753,$A753-$A752,F$745-SUM(F$748:F752))</f>
        <v>10</v>
      </c>
      <c r="G753" s="416">
        <f>IF(G$745&gt;$A753,$A753-$A752,G$745-SUM(G$748:G752))</f>
        <v>10</v>
      </c>
      <c r="H753" s="416">
        <f>IF(H$745&gt;$A753,$A753-$A752,H$745-SUM(H$748:H752))</f>
        <v>10</v>
      </c>
      <c r="I753" s="416">
        <f>IF(I$745&gt;$A753,$A753-$A752,I$745-SUM(I$748:I752))</f>
        <v>10</v>
      </c>
      <c r="J753" s="416">
        <f>IF(J$745&gt;$A753,$A753-$A752,J$745-SUM(J$748:J752))</f>
        <v>10</v>
      </c>
      <c r="K753" s="416">
        <f>IF(K$745&gt;$A753,$A753-$A752,K$745-SUM(K$748:K752))</f>
        <v>10</v>
      </c>
      <c r="L753" s="416">
        <f>IF(L$745&gt;$A753,$A753-$A752,L$745-SUM(L$748:L752))</f>
        <v>10</v>
      </c>
      <c r="M753" s="283"/>
      <c r="N753" s="405">
        <f t="shared" si="323"/>
        <v>0</v>
      </c>
      <c r="O753" s="95">
        <f t="shared" si="323"/>
        <v>0.75899999999997991</v>
      </c>
      <c r="P753" s="95">
        <f t="shared" si="323"/>
        <v>1.2760000000000076</v>
      </c>
      <c r="Q753" s="95">
        <f t="shared" si="323"/>
        <v>2.2000000000000002</v>
      </c>
      <c r="R753" s="95">
        <f t="shared" si="323"/>
        <v>2.2000000000000002</v>
      </c>
      <c r="S753" s="95">
        <f t="shared" si="323"/>
        <v>2.2000000000000002</v>
      </c>
      <c r="T753" s="95">
        <f t="shared" si="323"/>
        <v>2.2000000000000002</v>
      </c>
      <c r="U753" s="95">
        <f t="shared" si="323"/>
        <v>2.2000000000000002</v>
      </c>
      <c r="V753" s="95">
        <f t="shared" si="323"/>
        <v>2.2000000000000002</v>
      </c>
      <c r="W753" s="95">
        <f t="shared" si="323"/>
        <v>2.2000000000000002</v>
      </c>
      <c r="X753" s="283"/>
    </row>
    <row r="754" spans="1:24" s="8" customFormat="1" outlineLevel="2">
      <c r="A754" s="416">
        <f>D$57</f>
        <v>50</v>
      </c>
      <c r="B754" s="416">
        <f>B$57</f>
        <v>0.2</v>
      </c>
      <c r="C754" s="411">
        <f>IF(C$745&gt;$A754,$A754-$A753,C$745-SUM(C$748:C753))</f>
        <v>0</v>
      </c>
      <c r="D754" s="416">
        <f>IF(D$745&gt;$A754,$A754-$A753,D$745-SUM(D$748:D753))</f>
        <v>0</v>
      </c>
      <c r="E754" s="416">
        <f>IF(E$745&gt;$A754,$A754-$A753,E$745-SUM(E$748:E753))</f>
        <v>0</v>
      </c>
      <c r="F754" s="416">
        <f>IF(F$745&gt;$A754,$A754-$A753,F$745-SUM(F$748:F753))</f>
        <v>4.7049090000000824</v>
      </c>
      <c r="G754" s="416">
        <f>IF(G$745&gt;$A754,$A754-$A753,G$745-SUM(G$748:G753))</f>
        <v>23.731773967721637</v>
      </c>
      <c r="H754" s="416">
        <f>IF(H$745&gt;$A754,$A754-$A753,H$745-SUM(H$748:H753))</f>
        <v>30</v>
      </c>
      <c r="I754" s="416">
        <f>IF(I$745&gt;$A754,$A754-$A753,I$745-SUM(I$748:I753))</f>
        <v>30</v>
      </c>
      <c r="J754" s="416">
        <f>IF(J$745&gt;$A754,$A754-$A753,J$745-SUM(J$748:J753))</f>
        <v>30</v>
      </c>
      <c r="K754" s="416">
        <f>IF(K$745&gt;$A754,$A754-$A753,K$745-SUM(K$748:K753))</f>
        <v>30</v>
      </c>
      <c r="L754" s="416">
        <f>IF(L$745&gt;$A754,$A754-$A753,L$745-SUM(L$748:L753))</f>
        <v>30</v>
      </c>
      <c r="M754" s="283"/>
      <c r="N754" s="405">
        <f t="shared" si="323"/>
        <v>0</v>
      </c>
      <c r="O754" s="95">
        <f t="shared" si="323"/>
        <v>0</v>
      </c>
      <c r="P754" s="95">
        <f t="shared" si="323"/>
        <v>0</v>
      </c>
      <c r="Q754" s="95">
        <f t="shared" si="323"/>
        <v>0.94098180000001652</v>
      </c>
      <c r="R754" s="95">
        <f t="shared" si="323"/>
        <v>4.7463547935443273</v>
      </c>
      <c r="S754" s="95">
        <f t="shared" si="323"/>
        <v>6</v>
      </c>
      <c r="T754" s="95">
        <f t="shared" si="323"/>
        <v>6</v>
      </c>
      <c r="U754" s="95">
        <f t="shared" si="323"/>
        <v>6</v>
      </c>
      <c r="V754" s="95">
        <f t="shared" si="323"/>
        <v>6</v>
      </c>
      <c r="W754" s="95">
        <f t="shared" si="323"/>
        <v>6</v>
      </c>
      <c r="X754" s="283"/>
    </row>
    <row r="755" spans="1:24" s="8" customFormat="1" outlineLevel="2">
      <c r="A755" s="416">
        <f>D$58</f>
        <v>75</v>
      </c>
      <c r="B755" s="416">
        <f>B$58</f>
        <v>0.15</v>
      </c>
      <c r="C755" s="411">
        <f>IF(C$745&gt;$A755,$A755-$A754,C$745-SUM(C$748:C754))</f>
        <v>0</v>
      </c>
      <c r="D755" s="416">
        <f>IF(D$745&gt;$A755,$A755-$A754,D$745-SUM(D$748:D754))</f>
        <v>0</v>
      </c>
      <c r="E755" s="416">
        <f>IF(E$745&gt;$A755,$A755-$A754,E$745-SUM(E$748:E754))</f>
        <v>0</v>
      </c>
      <c r="F755" s="416">
        <f>IF(F$745&gt;$A755,$A755-$A754,F$745-SUM(F$748:F754))</f>
        <v>0</v>
      </c>
      <c r="G755" s="416">
        <f>IF(G$745&gt;$A755,$A755-$A754,G$745-SUM(G$748:G754))</f>
        <v>0</v>
      </c>
      <c r="H755" s="416">
        <f>IF(H$745&gt;$A755,$A755-$A754,H$745-SUM(H$748:H754))</f>
        <v>21.316146999999845</v>
      </c>
      <c r="I755" s="416">
        <f>IF(I$745&gt;$A755,$A755-$A754,I$745-SUM(I$748:I754))</f>
        <v>25</v>
      </c>
      <c r="J755" s="416">
        <f>IF(J$745&gt;$A755,$A755-$A754,J$745-SUM(J$748:J754))</f>
        <v>25</v>
      </c>
      <c r="K755" s="416">
        <f>IF(K$745&gt;$A755,$A755-$A754,K$745-SUM(K$748:K754))</f>
        <v>25</v>
      </c>
      <c r="L755" s="416">
        <f>IF(L$745&gt;$A755,$A755-$A754,L$745-SUM(L$748:L754))</f>
        <v>25</v>
      </c>
      <c r="M755" s="283"/>
      <c r="N755" s="405">
        <f t="shared" si="323"/>
        <v>0</v>
      </c>
      <c r="O755" s="95">
        <f t="shared" si="323"/>
        <v>0</v>
      </c>
      <c r="P755" s="95">
        <f t="shared" si="323"/>
        <v>0</v>
      </c>
      <c r="Q755" s="95">
        <f t="shared" si="323"/>
        <v>0</v>
      </c>
      <c r="R755" s="95">
        <f t="shared" si="323"/>
        <v>0</v>
      </c>
      <c r="S755" s="95">
        <f t="shared" si="323"/>
        <v>3.1974220499999766</v>
      </c>
      <c r="T755" s="95">
        <f t="shared" si="323"/>
        <v>3.75</v>
      </c>
      <c r="U755" s="95">
        <f t="shared" si="323"/>
        <v>3.75</v>
      </c>
      <c r="V755" s="95">
        <f t="shared" si="323"/>
        <v>3.75</v>
      </c>
      <c r="W755" s="95">
        <f t="shared" si="323"/>
        <v>3.75</v>
      </c>
      <c r="X755" s="283"/>
    </row>
    <row r="756" spans="1:24" s="8" customFormat="1" outlineLevel="2">
      <c r="A756" s="416">
        <f>D$59</f>
        <v>9999</v>
      </c>
      <c r="B756" s="416">
        <f>B$59</f>
        <v>0.1</v>
      </c>
      <c r="C756" s="411">
        <f>IF(C$745&gt;$A756,$A756-$A755,C$745-SUM(C$748:C755))</f>
        <v>0</v>
      </c>
      <c r="D756" s="416">
        <f>IF(D$745&gt;$A756,$A756-$A755,D$745-SUM(D$748:D755))</f>
        <v>0</v>
      </c>
      <c r="E756" s="416">
        <f>IF(E$745&gt;$A756,$A756-$A755,E$745-SUM(E$748:E755))</f>
        <v>0</v>
      </c>
      <c r="F756" s="416">
        <f>IF(F$745&gt;$A756,$A756-$A755,F$745-SUM(F$748:F755))</f>
        <v>0</v>
      </c>
      <c r="G756" s="416">
        <f>IF(G$745&gt;$A756,$A756-$A755,G$745-SUM(G$748:G755))</f>
        <v>0</v>
      </c>
      <c r="H756" s="416">
        <f>IF(H$745&gt;$A756,$A756-$A755,H$745-SUM(H$748:H755))</f>
        <v>0</v>
      </c>
      <c r="I756" s="416">
        <f>IF(I$745&gt;$A756,$A756-$A755,I$745-SUM(I$748:I755))</f>
        <v>36.849940000000288</v>
      </c>
      <c r="J756" s="416">
        <f>IF(J$745&gt;$A756,$A756-$A755,J$745-SUM(J$748:J755))</f>
        <v>119.43356399999965</v>
      </c>
      <c r="K756" s="416">
        <f>IF(K$745&gt;$A756,$A756-$A755,K$745-SUM(K$748:K755))</f>
        <v>150.01047758850763</v>
      </c>
      <c r="L756" s="416">
        <f>IF(L$745&gt;$A756,$A756-$A755,L$745-SUM(L$748:L755))</f>
        <v>164.75973199999967</v>
      </c>
      <c r="M756" s="283"/>
      <c r="N756" s="405">
        <f t="shared" si="323"/>
        <v>0</v>
      </c>
      <c r="O756" s="95">
        <f t="shared" si="323"/>
        <v>0</v>
      </c>
      <c r="P756" s="95">
        <f t="shared" si="323"/>
        <v>0</v>
      </c>
      <c r="Q756" s="95">
        <f t="shared" si="323"/>
        <v>0</v>
      </c>
      <c r="R756" s="95">
        <f t="shared" si="323"/>
        <v>0</v>
      </c>
      <c r="S756" s="95">
        <f t="shared" si="323"/>
        <v>0</v>
      </c>
      <c r="T756" s="95">
        <f t="shared" si="323"/>
        <v>3.684994000000029</v>
      </c>
      <c r="U756" s="95">
        <f t="shared" si="323"/>
        <v>11.943356399999965</v>
      </c>
      <c r="V756" s="95">
        <f t="shared" si="323"/>
        <v>15.001047758850763</v>
      </c>
      <c r="W756" s="95">
        <f t="shared" si="323"/>
        <v>16.475973199999967</v>
      </c>
      <c r="X756" s="283"/>
    </row>
    <row r="757" spans="1:24" s="8" customFormat="1" outlineLevel="1">
      <c r="A757" s="404"/>
      <c r="B757" s="417" t="str">
        <f>CONCATENATE(B744," Total")</f>
        <v>Others Total</v>
      </c>
      <c r="C757" s="418">
        <f>SUM(C748:C756)</f>
        <v>8.4999999999999716</v>
      </c>
      <c r="D757" s="419">
        <f t="shared" ref="D757:L757" si="324">SUM(D748:D756)</f>
        <v>13.449999999999909</v>
      </c>
      <c r="E757" s="419">
        <f t="shared" si="324"/>
        <v>15.800000000000034</v>
      </c>
      <c r="F757" s="419">
        <f t="shared" si="324"/>
        <v>24.704909000000082</v>
      </c>
      <c r="G757" s="419">
        <f t="shared" si="324"/>
        <v>43.731773967721637</v>
      </c>
      <c r="H757" s="419">
        <f t="shared" si="324"/>
        <v>71.316146999999845</v>
      </c>
      <c r="I757" s="419">
        <f t="shared" si="324"/>
        <v>111.84994000000029</v>
      </c>
      <c r="J757" s="419">
        <f t="shared" si="324"/>
        <v>194.43356399999965</v>
      </c>
      <c r="K757" s="419">
        <f t="shared" si="324"/>
        <v>225.01047758850763</v>
      </c>
      <c r="L757" s="419">
        <f t="shared" si="324"/>
        <v>239.75973199999967</v>
      </c>
      <c r="M757" s="283"/>
      <c r="N757" s="420">
        <f>SUM(N748:N756)</f>
        <v>4.3799999999999883</v>
      </c>
      <c r="O757" s="420">
        <f t="shared" ref="O757:W757" si="325">SUM(O748:O756)</f>
        <v>5.7689999999999797</v>
      </c>
      <c r="P757" s="420">
        <f t="shared" si="325"/>
        <v>6.2860000000000076</v>
      </c>
      <c r="Q757" s="420">
        <f t="shared" si="325"/>
        <v>8.1509818000000163</v>
      </c>
      <c r="R757" s="420">
        <f t="shared" si="325"/>
        <v>11.956354793544328</v>
      </c>
      <c r="S757" s="420">
        <f t="shared" si="325"/>
        <v>16.407422049999976</v>
      </c>
      <c r="T757" s="420">
        <f t="shared" si="325"/>
        <v>20.644994000000029</v>
      </c>
      <c r="U757" s="420">
        <f t="shared" si="325"/>
        <v>28.903356399999964</v>
      </c>
      <c r="V757" s="420">
        <f t="shared" si="325"/>
        <v>31.961047758850764</v>
      </c>
      <c r="W757" s="420">
        <f t="shared" si="325"/>
        <v>33.435973199999964</v>
      </c>
      <c r="X757" s="283"/>
    </row>
    <row r="758" spans="1:24" s="8" customFormat="1" outlineLevel="1">
      <c r="B758" s="421" t="s">
        <v>778</v>
      </c>
      <c r="C758" s="422">
        <f t="shared" ref="C758:L758" si="326">C757-C745</f>
        <v>0</v>
      </c>
      <c r="D758" s="423">
        <f t="shared" si="326"/>
        <v>0</v>
      </c>
      <c r="E758" s="423">
        <f t="shared" si="326"/>
        <v>0</v>
      </c>
      <c r="F758" s="423">
        <f t="shared" si="326"/>
        <v>0</v>
      </c>
      <c r="G758" s="423">
        <f t="shared" si="326"/>
        <v>0</v>
      </c>
      <c r="H758" s="423">
        <f t="shared" si="326"/>
        <v>0</v>
      </c>
      <c r="I758" s="423">
        <f t="shared" si="326"/>
        <v>0</v>
      </c>
      <c r="J758" s="423">
        <f t="shared" si="326"/>
        <v>0</v>
      </c>
      <c r="K758" s="423">
        <f t="shared" si="326"/>
        <v>0</v>
      </c>
      <c r="L758" s="423">
        <f t="shared" si="326"/>
        <v>0</v>
      </c>
      <c r="M758" s="283"/>
      <c r="N758" s="283"/>
      <c r="O758" s="283"/>
      <c r="P758" s="283"/>
      <c r="Q758" s="283"/>
      <c r="R758" s="283"/>
      <c r="S758" s="283"/>
      <c r="T758" s="283"/>
      <c r="U758" s="283"/>
      <c r="V758" s="283"/>
      <c r="W758" s="283"/>
      <c r="X758" s="283"/>
    </row>
  </sheetData>
  <sortState ref="A1044:Q1080">
    <sortCondition descending="1" ref="F1044:F1080"/>
  </sortState>
  <mergeCells count="9">
    <mergeCell ref="A9:E9"/>
    <mergeCell ref="C49:D49"/>
    <mergeCell ref="C182:M182"/>
    <mergeCell ref="N182:X182"/>
    <mergeCell ref="A7:F7"/>
    <mergeCell ref="A38:F38"/>
    <mergeCell ref="A41:F41"/>
    <mergeCell ref="A42:F42"/>
    <mergeCell ref="A43:F43"/>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Royalties&amp;C&amp;A&amp;RAugust 2017 Update</oddHeader>
    <oddFooter>&amp;LAlexander Galetovic, Stephen Haber, _x000D_and Lew Zaretzki&amp;C&amp;P of &amp;N</oddFooter>
  </headerFooter>
  <rowBreaks count="4" manualBreakCount="4">
    <brk id="34" max="16383" man="1"/>
    <brk id="60" max="16383" man="1"/>
    <brk id="99" max="16383" man="1"/>
    <brk id="138" max="16383" man="1"/>
  </rowBreaks>
  <extLst>
    <ext xmlns:mx="http://schemas.microsoft.com/office/mac/excel/2008/main" uri="{64002731-A6B0-56B0-2670-7721B7C09600}">
      <mx:PLV Mode="1" OnePage="0" WScale="10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3"/>
  <sheetViews>
    <sheetView showGridLines="0" view="pageLayout" zoomScale="96" zoomScalePageLayoutView="96" workbookViewId="0">
      <selection activeCell="A21" sqref="A21"/>
    </sheetView>
  </sheetViews>
  <sheetFormatPr baseColWidth="10" defaultRowHeight="15.6"/>
  <cols>
    <col min="1" max="1" width="77.19921875" style="36" customWidth="1"/>
    <col min="2" max="2" width="10.296875" customWidth="1"/>
  </cols>
  <sheetData>
    <row r="2" spans="1:1">
      <c r="A2" s="188" t="s">
        <v>508</v>
      </c>
    </row>
    <row r="3" spans="1:1" ht="18">
      <c r="A3" s="55" t="str">
        <f>CONCATENATE(VLOOKUP($A$2,'Table of Contents'!$B:$E,4,FALSE)," ",$A$2)</f>
        <v>4.2 Via Licensing LTE</v>
      </c>
    </row>
    <row r="4" spans="1:1">
      <c r="A4" t="str">
        <f>VLOOKUP($A$2,'Table of Contents'!$B:$E,3,FALSE)</f>
        <v>Pool</v>
      </c>
    </row>
    <row r="5" spans="1:1">
      <c r="A5" s="54" t="str">
        <f>VLOOKUP($A$2,'Table of Contents'!$B:$E,2,FALSE)</f>
        <v>Approximated</v>
      </c>
    </row>
    <row r="7" spans="1:1">
      <c r="A7" s="9" t="s">
        <v>505</v>
      </c>
    </row>
    <row r="8" spans="1:1" ht="93.6">
      <c r="A8" s="36" t="s">
        <v>589</v>
      </c>
    </row>
    <row r="9" spans="1:1" ht="31.2">
      <c r="A9" s="36" t="s">
        <v>590</v>
      </c>
    </row>
    <row r="11" spans="1:1">
      <c r="A11" s="10" t="s">
        <v>539</v>
      </c>
    </row>
    <row r="12" spans="1:1" ht="31.2">
      <c r="A12" s="36" t="s">
        <v>586</v>
      </c>
    </row>
    <row r="13" spans="1:1" ht="46.8">
      <c r="A13" s="36" t="s">
        <v>587</v>
      </c>
    </row>
    <row r="15" spans="1:1">
      <c r="A15" s="9" t="s">
        <v>308</v>
      </c>
    </row>
    <row r="16" spans="1:1" ht="62.4">
      <c r="A16" s="42" t="s">
        <v>591</v>
      </c>
    </row>
    <row r="18" spans="1:1" ht="31.2">
      <c r="A18" s="36" t="s">
        <v>588</v>
      </c>
    </row>
    <row r="20" spans="1:1">
      <c r="A20" s="9" t="s">
        <v>538</v>
      </c>
    </row>
    <row r="21" spans="1:1" ht="46.8">
      <c r="A21" s="36" t="s">
        <v>592</v>
      </c>
    </row>
    <row r="23" spans="1:1">
      <c r="A23" s="10" t="s">
        <v>956</v>
      </c>
    </row>
    <row r="24" spans="1:1">
      <c r="A24" s="36" t="s">
        <v>952</v>
      </c>
    </row>
    <row r="25" spans="1:1">
      <c r="A25" s="36" t="s">
        <v>953</v>
      </c>
    </row>
    <row r="26" spans="1:1">
      <c r="A26" s="36" t="s">
        <v>954</v>
      </c>
    </row>
    <row r="27" spans="1:1">
      <c r="A27" s="36" t="s">
        <v>955</v>
      </c>
    </row>
    <row r="29" spans="1:1">
      <c r="A29"/>
    </row>
    <row r="30" spans="1:1">
      <c r="A30"/>
    </row>
    <row r="31" spans="1:1">
      <c r="A31" s="9"/>
    </row>
    <row r="32" spans="1:1">
      <c r="A32"/>
    </row>
    <row r="33" spans="1:1">
      <c r="A33"/>
    </row>
  </sheetData>
  <phoneticPr fontId="16" type="noConversion"/>
  <hyperlinks>
    <hyperlink ref="A16" r:id="rId1" display="Via details their royalty rates"/>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0"/>
  <sheetViews>
    <sheetView showGridLines="0" view="pageLayout" topLeftCell="A176" zoomScale="81" zoomScalePageLayoutView="81" workbookViewId="0">
      <selection activeCell="A90" sqref="A90"/>
    </sheetView>
  </sheetViews>
  <sheetFormatPr baseColWidth="10" defaultRowHeight="15.6"/>
  <cols>
    <col min="1" max="1" width="28.19921875" customWidth="1"/>
    <col min="2" max="11" width="12.5" customWidth="1"/>
    <col min="12" max="12" width="33.796875" customWidth="1"/>
    <col min="13" max="13" width="21" customWidth="1"/>
    <col min="14" max="15" width="16.796875" customWidth="1"/>
    <col min="16" max="16" width="24.5" customWidth="1"/>
    <col min="17" max="19" width="16.796875" customWidth="1"/>
  </cols>
  <sheetData>
    <row r="2" spans="1:5">
      <c r="A2" s="143" t="s">
        <v>312</v>
      </c>
    </row>
    <row r="3" spans="1:5" ht="18">
      <c r="A3" s="53" t="str">
        <f>CONCATENATE(VLOOKUP($A$2,'Table of Contents'!$B:$E,4,FALSE)," ",$A$2)</f>
        <v>4.3 MPEGLA MPEG4</v>
      </c>
    </row>
    <row r="4" spans="1:5">
      <c r="A4" t="str">
        <f>VLOOKUP($A$2,'Table of Contents'!$B:$E,3,FALSE)</f>
        <v>Pool</v>
      </c>
    </row>
    <row r="5" spans="1:5">
      <c r="A5" s="54" t="str">
        <f>VLOOKUP($A$2,'Table of Contents'!$B:$E,2,FALSE)</f>
        <v>Documented</v>
      </c>
    </row>
    <row r="7" spans="1:5">
      <c r="A7" s="107" t="s">
        <v>271</v>
      </c>
    </row>
    <row r="8" spans="1:5" ht="175.95" customHeight="1">
      <c r="A8" s="537" t="s">
        <v>200</v>
      </c>
      <c r="B8" s="537"/>
      <c r="C8" s="537"/>
      <c r="D8" s="537"/>
      <c r="E8" s="537"/>
    </row>
    <row r="9" spans="1:5">
      <c r="A9" s="537"/>
      <c r="B9" s="537"/>
      <c r="C9" s="537"/>
      <c r="D9" s="537"/>
      <c r="E9" s="537"/>
    </row>
    <row r="10" spans="1:5">
      <c r="A10" s="6" t="s">
        <v>238</v>
      </c>
    </row>
    <row r="11" spans="1:5" ht="94.95" customHeight="1">
      <c r="A11" s="537" t="s">
        <v>239</v>
      </c>
      <c r="B11" s="537"/>
      <c r="C11" s="537"/>
      <c r="D11" s="537"/>
      <c r="E11" s="537"/>
    </row>
    <row r="12" spans="1:5">
      <c r="A12" s="537"/>
      <c r="B12" s="537"/>
      <c r="C12" s="537"/>
      <c r="D12" s="537"/>
      <c r="E12" s="537"/>
    </row>
    <row r="13" spans="1:5" ht="114" customHeight="1">
      <c r="A13" s="537" t="s">
        <v>240</v>
      </c>
      <c r="B13" s="537"/>
      <c r="C13" s="537"/>
      <c r="D13" s="537"/>
      <c r="E13" s="537"/>
    </row>
    <row r="14" spans="1:5">
      <c r="A14" s="537"/>
      <c r="B14" s="537"/>
      <c r="C14" s="537"/>
      <c r="D14" s="537"/>
      <c r="E14" s="537"/>
    </row>
    <row r="15" spans="1:5" ht="112.95" customHeight="1">
      <c r="A15" s="537" t="s">
        <v>241</v>
      </c>
      <c r="B15" s="537"/>
      <c r="C15" s="537"/>
      <c r="D15" s="537"/>
      <c r="E15" s="537"/>
    </row>
    <row r="16" spans="1:5">
      <c r="A16" s="537"/>
      <c r="B16" s="537"/>
      <c r="C16" s="537"/>
      <c r="D16" s="537"/>
      <c r="E16" s="537"/>
    </row>
    <row r="17" spans="1:5" ht="81" customHeight="1">
      <c r="A17" s="537" t="s">
        <v>242</v>
      </c>
      <c r="B17" s="537"/>
      <c r="C17" s="537"/>
      <c r="D17" s="537"/>
      <c r="E17" s="537"/>
    </row>
    <row r="19" spans="1:5">
      <c r="A19" s="107" t="s">
        <v>243</v>
      </c>
    </row>
    <row r="20" spans="1:5">
      <c r="A20" s="6" t="s">
        <v>100</v>
      </c>
    </row>
    <row r="21" spans="1:5">
      <c r="A21" s="6" t="s">
        <v>201</v>
      </c>
    </row>
    <row r="22" spans="1:5">
      <c r="A22" s="6" t="s">
        <v>202</v>
      </c>
    </row>
    <row r="23" spans="1:5">
      <c r="A23" s="6" t="s">
        <v>203</v>
      </c>
    </row>
    <row r="24" spans="1:5">
      <c r="A24" s="6" t="s">
        <v>204</v>
      </c>
    </row>
    <row r="25" spans="1:5">
      <c r="A25" s="6" t="s">
        <v>136</v>
      </c>
    </row>
    <row r="26" spans="1:5">
      <c r="A26" s="6" t="s">
        <v>101</v>
      </c>
    </row>
    <row r="27" spans="1:5">
      <c r="A27" s="6" t="s">
        <v>139</v>
      </c>
    </row>
    <row r="28" spans="1:5">
      <c r="A28" s="6" t="s">
        <v>145</v>
      </c>
    </row>
    <row r="29" spans="1:5">
      <c r="A29" s="6" t="s">
        <v>103</v>
      </c>
    </row>
    <row r="30" spans="1:5">
      <c r="A30" s="6" t="s">
        <v>153</v>
      </c>
    </row>
    <row r="31" spans="1:5">
      <c r="A31" s="6" t="s">
        <v>205</v>
      </c>
    </row>
    <row r="32" spans="1:5">
      <c r="A32" s="6" t="s">
        <v>206</v>
      </c>
    </row>
    <row r="33" spans="1:1">
      <c r="A33" s="6" t="s">
        <v>158</v>
      </c>
    </row>
    <row r="34" spans="1:1">
      <c r="A34" s="6" t="s">
        <v>207</v>
      </c>
    </row>
    <row r="35" spans="1:1">
      <c r="A35" s="6" t="s">
        <v>208</v>
      </c>
    </row>
    <row r="36" spans="1:1">
      <c r="A36" s="6" t="s">
        <v>104</v>
      </c>
    </row>
    <row r="37" spans="1:1">
      <c r="A37" s="6" t="s">
        <v>209</v>
      </c>
    </row>
    <row r="38" spans="1:1">
      <c r="A38" s="6" t="s">
        <v>210</v>
      </c>
    </row>
    <row r="39" spans="1:1">
      <c r="A39" s="6" t="s">
        <v>171</v>
      </c>
    </row>
    <row r="40" spans="1:1">
      <c r="A40" s="6" t="s">
        <v>211</v>
      </c>
    </row>
    <row r="41" spans="1:1">
      <c r="A41" s="6" t="s">
        <v>105</v>
      </c>
    </row>
    <row r="42" spans="1:1">
      <c r="A42" s="6" t="s">
        <v>176</v>
      </c>
    </row>
    <row r="43" spans="1:1">
      <c r="A43" s="6" t="s">
        <v>178</v>
      </c>
    </row>
    <row r="44" spans="1:1">
      <c r="A44" s="6" t="s">
        <v>212</v>
      </c>
    </row>
    <row r="45" spans="1:1">
      <c r="A45" s="6" t="s">
        <v>213</v>
      </c>
    </row>
    <row r="46" spans="1:1">
      <c r="A46" s="6" t="s">
        <v>214</v>
      </c>
    </row>
    <row r="47" spans="1:1">
      <c r="A47" s="6" t="s">
        <v>191</v>
      </c>
    </row>
    <row r="48" spans="1:1">
      <c r="A48" s="6" t="s">
        <v>215</v>
      </c>
    </row>
    <row r="49" spans="1:1">
      <c r="A49" s="6" t="s">
        <v>216</v>
      </c>
    </row>
    <row r="50" spans="1:1" s="360" customFormat="1">
      <c r="A50" s="6"/>
    </row>
    <row r="51" spans="1:1" s="360" customFormat="1">
      <c r="A51" s="6"/>
    </row>
    <row r="52" spans="1:1" s="360" customFormat="1">
      <c r="A52" s="6"/>
    </row>
    <row r="53" spans="1:1" s="360" customFormat="1">
      <c r="A53" s="6"/>
    </row>
    <row r="54" spans="1:1" s="360" customFormat="1">
      <c r="A54" s="6"/>
    </row>
    <row r="55" spans="1:1" s="360" customFormat="1">
      <c r="A55" s="6"/>
    </row>
    <row r="56" spans="1:1">
      <c r="A56" s="6"/>
    </row>
    <row r="57" spans="1:1">
      <c r="A57" s="107" t="s">
        <v>244</v>
      </c>
    </row>
    <row r="58" spans="1:1">
      <c r="A58" s="365" t="s">
        <v>245</v>
      </c>
    </row>
    <row r="59" spans="1:1">
      <c r="A59" s="6" t="s">
        <v>246</v>
      </c>
    </row>
    <row r="60" spans="1:1">
      <c r="A60" s="6" t="s">
        <v>1317</v>
      </c>
    </row>
    <row r="61" spans="1:1">
      <c r="A61" s="6"/>
    </row>
    <row r="62" spans="1:1">
      <c r="A62" s="6" t="s">
        <v>247</v>
      </c>
    </row>
    <row r="63" spans="1:1">
      <c r="A63" s="6" t="s">
        <v>248</v>
      </c>
    </row>
    <row r="64" spans="1:1">
      <c r="A64" s="6"/>
    </row>
    <row r="65" spans="1:5">
      <c r="A65" s="6" t="s">
        <v>249</v>
      </c>
    </row>
    <row r="66" spans="1:5">
      <c r="A66" s="374" t="s">
        <v>1281</v>
      </c>
    </row>
    <row r="67" spans="1:5">
      <c r="A67" s="374" t="s">
        <v>250</v>
      </c>
    </row>
    <row r="69" spans="1:5">
      <c r="A69" s="6" t="s">
        <v>251</v>
      </c>
    </row>
    <row r="70" spans="1:5">
      <c r="A70" s="374" t="s">
        <v>1280</v>
      </c>
    </row>
    <row r="71" spans="1:5">
      <c r="A71" s="6"/>
    </row>
    <row r="72" spans="1:5">
      <c r="A72" s="6" t="s">
        <v>252</v>
      </c>
    </row>
    <row r="73" spans="1:5" ht="34.799999999999997" customHeight="1">
      <c r="A73" s="572" t="s">
        <v>1279</v>
      </c>
      <c r="B73" s="572"/>
      <c r="C73" s="572"/>
      <c r="D73" s="572"/>
      <c r="E73" s="572"/>
    </row>
    <row r="74" spans="1:5">
      <c r="A74" s="572"/>
      <c r="B74" s="572"/>
      <c r="C74" s="572"/>
      <c r="D74" s="572"/>
      <c r="E74" s="572"/>
    </row>
    <row r="75" spans="1:5">
      <c r="A75" s="107" t="s">
        <v>1330</v>
      </c>
    </row>
    <row r="76" spans="1:5" ht="34.799999999999997" customHeight="1">
      <c r="A76" s="564" t="s">
        <v>1307</v>
      </c>
      <c r="B76" s="564"/>
      <c r="C76" s="564"/>
      <c r="D76" s="564"/>
      <c r="E76" s="564"/>
    </row>
    <row r="77" spans="1:5" ht="19.2" customHeight="1">
      <c r="A77" s="564" t="s">
        <v>1308</v>
      </c>
      <c r="B77" s="564"/>
      <c r="C77" s="564"/>
      <c r="D77" s="564"/>
      <c r="E77" s="564"/>
    </row>
    <row r="78" spans="1:5" ht="16.8" customHeight="1">
      <c r="A78" s="564" t="s">
        <v>1517</v>
      </c>
      <c r="B78" s="564"/>
      <c r="C78" s="564"/>
      <c r="D78" s="564"/>
      <c r="E78" s="564"/>
    </row>
    <row r="79" spans="1:5" ht="33.450000000000003" customHeight="1">
      <c r="A79" s="571" t="s">
        <v>1310</v>
      </c>
      <c r="B79" s="571"/>
      <c r="C79" s="571"/>
      <c r="D79" s="571"/>
      <c r="E79" s="571"/>
    </row>
    <row r="80" spans="1:5" ht="34.799999999999997" customHeight="1">
      <c r="A80" s="571" t="s">
        <v>1311</v>
      </c>
      <c r="B80" s="571"/>
      <c r="C80" s="571"/>
      <c r="D80" s="571"/>
      <c r="E80" s="571"/>
    </row>
    <row r="81" spans="1:11" ht="33.450000000000003" customHeight="1">
      <c r="A81" s="571" t="s">
        <v>1312</v>
      </c>
      <c r="B81" s="571"/>
      <c r="C81" s="571"/>
      <c r="D81" s="571"/>
      <c r="E81" s="571"/>
    </row>
    <row r="82" spans="1:11">
      <c r="A82" s="520" t="s">
        <v>1313</v>
      </c>
    </row>
    <row r="83" spans="1:11">
      <c r="A83" s="520" t="s">
        <v>1314</v>
      </c>
    </row>
    <row r="84" spans="1:11">
      <c r="A84" s="520" t="s">
        <v>1315</v>
      </c>
    </row>
    <row r="85" spans="1:11" s="8" customFormat="1"/>
    <row r="86" spans="1:11" s="277" customFormat="1">
      <c r="A86" s="278" t="s">
        <v>1331</v>
      </c>
    </row>
    <row r="87" spans="1:11" s="277" customFormat="1">
      <c r="A87" s="277" t="s">
        <v>1518</v>
      </c>
      <c r="B87" s="521">
        <v>0.05</v>
      </c>
      <c r="F87" s="522"/>
    </row>
    <row r="88" spans="1:11" s="277" customFormat="1">
      <c r="A88" s="277" t="s">
        <v>1319</v>
      </c>
      <c r="B88" s="523">
        <v>0.25</v>
      </c>
    </row>
    <row r="89" spans="1:11" s="277" customFormat="1">
      <c r="A89" s="277" t="s">
        <v>1320</v>
      </c>
      <c r="B89" s="523">
        <v>0.25</v>
      </c>
    </row>
    <row r="90" spans="1:11" s="277" customFormat="1">
      <c r="A90" s="277" t="s">
        <v>1318</v>
      </c>
      <c r="B90" s="523">
        <v>3</v>
      </c>
      <c r="C90" s="523">
        <v>3</v>
      </c>
      <c r="D90" s="523">
        <v>3.3</v>
      </c>
      <c r="E90" s="523">
        <v>3.6</v>
      </c>
      <c r="F90" s="523">
        <v>3.75</v>
      </c>
      <c r="G90" s="523">
        <v>3.75</v>
      </c>
      <c r="H90" s="523">
        <v>3.75</v>
      </c>
      <c r="I90" s="523">
        <v>3.75</v>
      </c>
      <c r="J90" s="523">
        <v>3.75</v>
      </c>
      <c r="K90" s="523">
        <v>3.75</v>
      </c>
    </row>
    <row r="91" spans="1:11" s="8" customFormat="1">
      <c r="A91" s="107"/>
      <c r="B91" s="283"/>
      <c r="C91" s="283"/>
    </row>
    <row r="92" spans="1:11" s="8" customFormat="1">
      <c r="A92" s="107" t="s">
        <v>1316</v>
      </c>
      <c r="B92" s="168" t="s">
        <v>1283</v>
      </c>
      <c r="C92" s="168" t="s">
        <v>1284</v>
      </c>
      <c r="D92" s="66" t="s">
        <v>1285</v>
      </c>
      <c r="E92" s="66" t="s">
        <v>1286</v>
      </c>
      <c r="F92" s="66" t="s">
        <v>1287</v>
      </c>
      <c r="G92" s="66" t="s">
        <v>1288</v>
      </c>
      <c r="H92" s="66" t="s">
        <v>1289</v>
      </c>
      <c r="I92" s="66" t="s">
        <v>1290</v>
      </c>
      <c r="J92" s="66" t="s">
        <v>1291</v>
      </c>
      <c r="K92" s="66" t="s">
        <v>1292</v>
      </c>
    </row>
    <row r="93" spans="1:11" s="8" customFormat="1">
      <c r="A93" s="283" t="s">
        <v>1293</v>
      </c>
      <c r="B93" s="405">
        <f>B136*IF(B178*SUM($B$88:$B$89)&gt;B$90,B$90,B178*SUM($B$88:$B$89))</f>
        <v>0</v>
      </c>
      <c r="C93" s="405">
        <f t="shared" ref="C93:K93" si="0">C136*IF(C178*SUM($B$88:$B$89)&gt;C$90,C$90,C178*SUM($B$88:$B$89))</f>
        <v>0</v>
      </c>
      <c r="D93" s="405">
        <f t="shared" si="0"/>
        <v>0</v>
      </c>
      <c r="E93" s="405">
        <f t="shared" si="0"/>
        <v>0</v>
      </c>
      <c r="F93" s="405">
        <f t="shared" si="0"/>
        <v>0</v>
      </c>
      <c r="G93" s="405">
        <f t="shared" si="0"/>
        <v>0</v>
      </c>
      <c r="H93" s="405">
        <f t="shared" si="0"/>
        <v>0</v>
      </c>
      <c r="I93" s="405">
        <f t="shared" si="0"/>
        <v>0</v>
      </c>
      <c r="J93" s="405">
        <f t="shared" si="0"/>
        <v>0</v>
      </c>
      <c r="K93" s="405">
        <f t="shared" si="0"/>
        <v>0</v>
      </c>
    </row>
    <row r="94" spans="1:11" s="8" customFormat="1">
      <c r="A94" s="283" t="s">
        <v>1294</v>
      </c>
      <c r="B94" s="405">
        <f t="shared" ref="B94:K94" si="1">B137*IF(B179*SUM($B$88:$B$89)&gt;B$90,B$90,B179*SUM($B$88:$B$89))</f>
        <v>0</v>
      </c>
      <c r="C94" s="405">
        <f t="shared" si="1"/>
        <v>0</v>
      </c>
      <c r="D94" s="405">
        <f t="shared" si="1"/>
        <v>0</v>
      </c>
      <c r="E94" s="405">
        <f t="shared" si="1"/>
        <v>0</v>
      </c>
      <c r="F94" s="405">
        <f t="shared" si="1"/>
        <v>2.3742130000000001</v>
      </c>
      <c r="G94" s="405">
        <f t="shared" si="1"/>
        <v>3.75</v>
      </c>
      <c r="H94" s="405">
        <f t="shared" si="1"/>
        <v>3.75</v>
      </c>
      <c r="I94" s="405">
        <f t="shared" si="1"/>
        <v>1.7158234999999999</v>
      </c>
      <c r="J94" s="405">
        <f t="shared" si="1"/>
        <v>3.0443914999999984</v>
      </c>
      <c r="K94" s="405">
        <f t="shared" si="1"/>
        <v>3.75</v>
      </c>
    </row>
    <row r="95" spans="1:11" s="8" customFormat="1">
      <c r="A95" s="284" t="s">
        <v>26</v>
      </c>
      <c r="B95" s="405">
        <f t="shared" ref="B95:K95" si="2">B138*IF(B180*SUM($B$88:$B$89)&gt;B$90,B$90,B180*SUM($B$88:$B$89))</f>
        <v>1.8519999999999999</v>
      </c>
      <c r="C95" s="405">
        <f t="shared" si="2"/>
        <v>3</v>
      </c>
      <c r="D95" s="405">
        <f t="shared" si="2"/>
        <v>3.3</v>
      </c>
      <c r="E95" s="405">
        <f t="shared" si="2"/>
        <v>3.6</v>
      </c>
      <c r="F95" s="405">
        <f t="shared" si="2"/>
        <v>3.75</v>
      </c>
      <c r="G95" s="405">
        <f t="shared" si="2"/>
        <v>3.75</v>
      </c>
      <c r="H95" s="405">
        <f t="shared" si="2"/>
        <v>3.75</v>
      </c>
      <c r="I95" s="405">
        <f t="shared" si="2"/>
        <v>3.75</v>
      </c>
      <c r="J95" s="405">
        <f t="shared" si="2"/>
        <v>3.75</v>
      </c>
      <c r="K95" s="405">
        <f t="shared" si="2"/>
        <v>3.75</v>
      </c>
    </row>
    <row r="96" spans="1:11" s="8" customFormat="1">
      <c r="A96" s="283" t="s">
        <v>269</v>
      </c>
      <c r="B96" s="405">
        <f t="shared" ref="B96:K96" si="3">B139*IF(B181*SUM($B$88:$B$89)&gt;B$90,B$90,B181*SUM($B$88:$B$89))</f>
        <v>0</v>
      </c>
      <c r="C96" s="405">
        <f t="shared" si="3"/>
        <v>0</v>
      </c>
      <c r="D96" s="405">
        <f t="shared" si="3"/>
        <v>0</v>
      </c>
      <c r="E96" s="405">
        <f t="shared" si="3"/>
        <v>0</v>
      </c>
      <c r="F96" s="405">
        <f t="shared" si="3"/>
        <v>0</v>
      </c>
      <c r="G96" s="405">
        <f t="shared" si="3"/>
        <v>0</v>
      </c>
      <c r="H96" s="405">
        <f t="shared" si="3"/>
        <v>0</v>
      </c>
      <c r="I96" s="405">
        <f t="shared" si="3"/>
        <v>0</v>
      </c>
      <c r="J96" s="405">
        <f t="shared" si="3"/>
        <v>0</v>
      </c>
      <c r="K96" s="405">
        <f t="shared" si="3"/>
        <v>0</v>
      </c>
    </row>
    <row r="97" spans="1:11" s="8" customFormat="1">
      <c r="A97" s="284" t="s">
        <v>270</v>
      </c>
      <c r="B97" s="405">
        <f t="shared" ref="B97:K97" si="4">B140*IF(B182*SUM($B$88:$B$89)&gt;B$90,B$90,B182*SUM($B$88:$B$89))</f>
        <v>0</v>
      </c>
      <c r="C97" s="405">
        <f t="shared" si="4"/>
        <v>0</v>
      </c>
      <c r="D97" s="405">
        <f t="shared" si="4"/>
        <v>0</v>
      </c>
      <c r="E97" s="405">
        <f t="shared" si="4"/>
        <v>0</v>
      </c>
      <c r="F97" s="405">
        <f t="shared" si="4"/>
        <v>0</v>
      </c>
      <c r="G97" s="405">
        <f t="shared" si="4"/>
        <v>0</v>
      </c>
      <c r="H97" s="405">
        <f t="shared" si="4"/>
        <v>0</v>
      </c>
      <c r="I97" s="405">
        <f t="shared" si="4"/>
        <v>0</v>
      </c>
      <c r="J97" s="405">
        <f t="shared" si="4"/>
        <v>0</v>
      </c>
      <c r="K97" s="405">
        <f t="shared" si="4"/>
        <v>0</v>
      </c>
    </row>
    <row r="98" spans="1:11" s="8" customFormat="1">
      <c r="A98" s="284" t="s">
        <v>974</v>
      </c>
      <c r="B98" s="405">
        <f t="shared" ref="B98:K98" si="5">B141*IF(B183*SUM($B$88:$B$89)&gt;B$90,B$90,B183*SUM($B$88:$B$89))</f>
        <v>0</v>
      </c>
      <c r="C98" s="405">
        <f t="shared" si="5"/>
        <v>0</v>
      </c>
      <c r="D98" s="405">
        <f t="shared" si="5"/>
        <v>0</v>
      </c>
      <c r="E98" s="405">
        <f t="shared" si="5"/>
        <v>0</v>
      </c>
      <c r="F98" s="405">
        <f t="shared" si="5"/>
        <v>0</v>
      </c>
      <c r="G98" s="405">
        <f t="shared" si="5"/>
        <v>0</v>
      </c>
      <c r="H98" s="405">
        <f t="shared" si="5"/>
        <v>0</v>
      </c>
      <c r="I98" s="405">
        <f t="shared" si="5"/>
        <v>3.5</v>
      </c>
      <c r="J98" s="405">
        <f t="shared" si="5"/>
        <v>1.9540000000000002</v>
      </c>
      <c r="K98" s="405">
        <f t="shared" si="5"/>
        <v>0.87750000000000006</v>
      </c>
    </row>
    <row r="99" spans="1:11" s="8" customFormat="1">
      <c r="A99" s="284" t="s">
        <v>263</v>
      </c>
      <c r="B99" s="405">
        <f t="shared" ref="B99:K99" si="6">B142*IF(B184*SUM($B$88:$B$89)&gt;B$90,B$90,B184*SUM($B$88:$B$89))</f>
        <v>0</v>
      </c>
      <c r="C99" s="405">
        <f t="shared" si="6"/>
        <v>0</v>
      </c>
      <c r="D99" s="405">
        <f t="shared" si="6"/>
        <v>0</v>
      </c>
      <c r="E99" s="405">
        <f t="shared" si="6"/>
        <v>0</v>
      </c>
      <c r="F99" s="405">
        <f t="shared" si="6"/>
        <v>0</v>
      </c>
      <c r="G99" s="405">
        <f t="shared" si="6"/>
        <v>0</v>
      </c>
      <c r="H99" s="405">
        <f t="shared" si="6"/>
        <v>0</v>
      </c>
      <c r="I99" s="405">
        <f t="shared" si="6"/>
        <v>0</v>
      </c>
      <c r="J99" s="405">
        <f t="shared" si="6"/>
        <v>0</v>
      </c>
      <c r="K99" s="405">
        <f t="shared" si="6"/>
        <v>0</v>
      </c>
    </row>
    <row r="100" spans="1:11" s="8" customFormat="1">
      <c r="A100" s="284" t="s">
        <v>264</v>
      </c>
      <c r="B100" s="405">
        <f t="shared" ref="B100:K100" si="7">B143*IF(B185*SUM($B$88:$B$89)&gt;B$90,B$90,B185*SUM($B$88:$B$89))</f>
        <v>2.4500000000000002</v>
      </c>
      <c r="C100" s="405">
        <f t="shared" si="7"/>
        <v>2.85</v>
      </c>
      <c r="D100" s="405">
        <f t="shared" si="7"/>
        <v>2.5500000000000003</v>
      </c>
      <c r="E100" s="405">
        <f t="shared" si="7"/>
        <v>3.6</v>
      </c>
      <c r="F100" s="405">
        <f t="shared" si="7"/>
        <v>3.75</v>
      </c>
      <c r="G100" s="405">
        <f t="shared" si="7"/>
        <v>3.75</v>
      </c>
      <c r="H100" s="405">
        <f t="shared" si="7"/>
        <v>1.7000000000000002</v>
      </c>
      <c r="I100" s="405">
        <f t="shared" si="7"/>
        <v>1.9999999999999998</v>
      </c>
      <c r="J100" s="405">
        <f t="shared" si="7"/>
        <v>1.7</v>
      </c>
      <c r="K100" s="405">
        <f t="shared" si="7"/>
        <v>1.7</v>
      </c>
    </row>
    <row r="101" spans="1:11" s="8" customFormat="1">
      <c r="A101" s="284" t="s">
        <v>51</v>
      </c>
      <c r="B101" s="405">
        <f t="shared" ref="B101:K101" si="8">B144*IF(B186*SUM($B$88:$B$89)&gt;B$90,B$90,B186*SUM($B$88:$B$89))</f>
        <v>3</v>
      </c>
      <c r="C101" s="405">
        <f t="shared" si="8"/>
        <v>3</v>
      </c>
      <c r="D101" s="405">
        <f t="shared" si="8"/>
        <v>3.3</v>
      </c>
      <c r="E101" s="405">
        <f t="shared" si="8"/>
        <v>3.6</v>
      </c>
      <c r="F101" s="405">
        <f t="shared" si="8"/>
        <v>3.75</v>
      </c>
      <c r="G101" s="405">
        <f t="shared" si="8"/>
        <v>3.75</v>
      </c>
      <c r="H101" s="405">
        <f t="shared" si="8"/>
        <v>3.75</v>
      </c>
      <c r="I101" s="405">
        <f t="shared" si="8"/>
        <v>3.75</v>
      </c>
      <c r="J101" s="405">
        <f t="shared" si="8"/>
        <v>3.75</v>
      </c>
      <c r="K101" s="405">
        <f t="shared" si="8"/>
        <v>3.75</v>
      </c>
    </row>
    <row r="102" spans="1:11" s="8" customFormat="1">
      <c r="A102" s="284" t="s">
        <v>33</v>
      </c>
      <c r="B102" s="405">
        <f t="shared" ref="B102:K102" si="9">B145*IF(B187*SUM($B$88:$B$89)&gt;B$90,B$90,B187*SUM($B$88:$B$89))</f>
        <v>0</v>
      </c>
      <c r="C102" s="405">
        <f t="shared" si="9"/>
        <v>0</v>
      </c>
      <c r="D102" s="405">
        <f t="shared" si="9"/>
        <v>0</v>
      </c>
      <c r="E102" s="405">
        <f t="shared" si="9"/>
        <v>0</v>
      </c>
      <c r="F102" s="405">
        <f t="shared" si="9"/>
        <v>0</v>
      </c>
      <c r="G102" s="405">
        <f t="shared" si="9"/>
        <v>0</v>
      </c>
      <c r="H102" s="405">
        <f t="shared" si="9"/>
        <v>0</v>
      </c>
      <c r="I102" s="405">
        <f t="shared" si="9"/>
        <v>0</v>
      </c>
      <c r="J102" s="405">
        <f t="shared" si="9"/>
        <v>0</v>
      </c>
      <c r="K102" s="405">
        <f t="shared" si="9"/>
        <v>0</v>
      </c>
    </row>
    <row r="103" spans="1:11" s="8" customFormat="1">
      <c r="A103" s="284" t="s">
        <v>425</v>
      </c>
      <c r="B103" s="405">
        <f t="shared" ref="B103:K103" si="10">B146*IF(B188*SUM($B$88:$B$89)&gt;B$90,B$90,B188*SUM($B$88:$B$89))</f>
        <v>3</v>
      </c>
      <c r="C103" s="405">
        <f t="shared" si="10"/>
        <v>3</v>
      </c>
      <c r="D103" s="405">
        <f t="shared" si="10"/>
        <v>3.3</v>
      </c>
      <c r="E103" s="405">
        <f t="shared" si="10"/>
        <v>3.6</v>
      </c>
      <c r="F103" s="405">
        <f t="shared" si="10"/>
        <v>3.75</v>
      </c>
      <c r="G103" s="405">
        <f t="shared" si="10"/>
        <v>3.75</v>
      </c>
      <c r="H103" s="405">
        <f t="shared" si="10"/>
        <v>3.75</v>
      </c>
      <c r="I103" s="405">
        <f t="shared" si="10"/>
        <v>3.75</v>
      </c>
      <c r="J103" s="405">
        <f t="shared" si="10"/>
        <v>3.75</v>
      </c>
      <c r="K103" s="405">
        <f t="shared" si="10"/>
        <v>3.6499999999999995</v>
      </c>
    </row>
    <row r="104" spans="1:11" s="8" customFormat="1">
      <c r="A104" s="284" t="s">
        <v>45</v>
      </c>
      <c r="B104" s="405">
        <f t="shared" ref="B104:K104" si="11">B147*IF(B189*SUM($B$88:$B$89)&gt;B$90,B$90,B189*SUM($B$88:$B$89))</f>
        <v>0</v>
      </c>
      <c r="C104" s="405">
        <f t="shared" si="11"/>
        <v>0</v>
      </c>
      <c r="D104" s="405">
        <f t="shared" si="11"/>
        <v>0</v>
      </c>
      <c r="E104" s="405">
        <f t="shared" si="11"/>
        <v>0</v>
      </c>
      <c r="F104" s="405">
        <f t="shared" si="11"/>
        <v>0</v>
      </c>
      <c r="G104" s="405">
        <f t="shared" si="11"/>
        <v>0</v>
      </c>
      <c r="H104" s="405">
        <f t="shared" si="11"/>
        <v>0</v>
      </c>
      <c r="I104" s="405">
        <f t="shared" si="11"/>
        <v>0</v>
      </c>
      <c r="J104" s="405">
        <f t="shared" si="11"/>
        <v>0</v>
      </c>
      <c r="K104" s="405">
        <f t="shared" si="11"/>
        <v>0</v>
      </c>
    </row>
    <row r="105" spans="1:11" s="8" customFormat="1">
      <c r="A105" s="284" t="s">
        <v>927</v>
      </c>
      <c r="B105" s="405">
        <f t="shared" ref="B105:K105" si="12">B148*IF(B190*SUM($B$88:$B$89)&gt;B$90,B$90,B190*SUM($B$88:$B$89))</f>
        <v>3</v>
      </c>
      <c r="C105" s="405">
        <f t="shared" si="12"/>
        <v>3</v>
      </c>
      <c r="D105" s="405">
        <f t="shared" si="12"/>
        <v>3.3</v>
      </c>
      <c r="E105" s="405">
        <f t="shared" si="12"/>
        <v>3.6</v>
      </c>
      <c r="F105" s="405">
        <f t="shared" si="12"/>
        <v>3.75</v>
      </c>
      <c r="G105" s="405">
        <f t="shared" si="12"/>
        <v>3.75</v>
      </c>
      <c r="H105" s="405">
        <f t="shared" si="12"/>
        <v>3.75</v>
      </c>
      <c r="I105" s="405">
        <f t="shared" si="12"/>
        <v>3.75</v>
      </c>
      <c r="J105" s="405">
        <f t="shared" si="12"/>
        <v>3.75</v>
      </c>
      <c r="K105" s="405">
        <f t="shared" si="12"/>
        <v>3.75</v>
      </c>
    </row>
    <row r="106" spans="1:11" s="8" customFormat="1">
      <c r="A106" s="284" t="s">
        <v>56</v>
      </c>
      <c r="B106" s="405">
        <f t="shared" ref="B106:K106" si="13">B149*IF(B191*SUM($B$88:$B$89)&gt;B$90,B$90,B191*SUM($B$88:$B$89))</f>
        <v>0</v>
      </c>
      <c r="C106" s="405">
        <f t="shared" si="13"/>
        <v>0</v>
      </c>
      <c r="D106" s="405">
        <f t="shared" si="13"/>
        <v>0</v>
      </c>
      <c r="E106" s="405">
        <f t="shared" si="13"/>
        <v>0</v>
      </c>
      <c r="F106" s="405">
        <f t="shared" si="13"/>
        <v>0</v>
      </c>
      <c r="G106" s="405">
        <f t="shared" si="13"/>
        <v>0</v>
      </c>
      <c r="H106" s="405">
        <f t="shared" si="13"/>
        <v>0</v>
      </c>
      <c r="I106" s="405">
        <f t="shared" si="13"/>
        <v>0</v>
      </c>
      <c r="J106" s="405">
        <f t="shared" si="13"/>
        <v>0</v>
      </c>
      <c r="K106" s="405">
        <f t="shared" si="13"/>
        <v>0</v>
      </c>
    </row>
    <row r="107" spans="1:11" s="8" customFormat="1">
      <c r="A107" s="284" t="s">
        <v>54</v>
      </c>
      <c r="B107" s="405">
        <f t="shared" ref="B107:K107" si="14">B150*IF(B192*SUM($B$88:$B$89)&gt;B$90,B$90,B192*SUM($B$88:$B$89))</f>
        <v>3</v>
      </c>
      <c r="C107" s="405">
        <f t="shared" si="14"/>
        <v>3</v>
      </c>
      <c r="D107" s="405">
        <f t="shared" si="14"/>
        <v>3.3</v>
      </c>
      <c r="E107" s="405">
        <f t="shared" si="14"/>
        <v>3.6</v>
      </c>
      <c r="F107" s="405">
        <f t="shared" si="14"/>
        <v>3.75</v>
      </c>
      <c r="G107" s="405">
        <f t="shared" si="14"/>
        <v>3.75</v>
      </c>
      <c r="H107" s="405">
        <f t="shared" si="14"/>
        <v>3.75</v>
      </c>
      <c r="I107" s="405">
        <f t="shared" si="14"/>
        <v>3.75</v>
      </c>
      <c r="J107" s="405">
        <f t="shared" si="14"/>
        <v>3.75</v>
      </c>
      <c r="K107" s="405">
        <f t="shared" si="14"/>
        <v>3.75</v>
      </c>
    </row>
    <row r="108" spans="1:11" s="8" customFormat="1">
      <c r="A108" s="284" t="s">
        <v>1295</v>
      </c>
      <c r="B108" s="405">
        <f t="shared" ref="B108:K108" si="15">B151*IF(B193*SUM($B$88:$B$89)&gt;B$90,B$90,B193*SUM($B$88:$B$89))</f>
        <v>1.5000000000000002</v>
      </c>
      <c r="C108" s="405">
        <f t="shared" si="15"/>
        <v>0.1</v>
      </c>
      <c r="D108" s="405">
        <f t="shared" si="15"/>
        <v>0</v>
      </c>
      <c r="E108" s="405">
        <f t="shared" si="15"/>
        <v>0</v>
      </c>
      <c r="F108" s="405">
        <f t="shared" si="15"/>
        <v>0</v>
      </c>
      <c r="G108" s="405">
        <f t="shared" si="15"/>
        <v>0</v>
      </c>
      <c r="H108" s="405">
        <f t="shared" si="15"/>
        <v>0</v>
      </c>
      <c r="I108" s="405">
        <f t="shared" si="15"/>
        <v>0</v>
      </c>
      <c r="J108" s="405">
        <f t="shared" si="15"/>
        <v>0</v>
      </c>
      <c r="K108" s="405">
        <f t="shared" si="15"/>
        <v>0</v>
      </c>
    </row>
    <row r="109" spans="1:11" s="8" customFormat="1">
      <c r="A109" s="284" t="s">
        <v>50</v>
      </c>
      <c r="B109" s="405">
        <f t="shared" ref="B109:K109" si="16">B152*IF(B194*SUM($B$88:$B$89)&gt;B$90,B$90,B194*SUM($B$88:$B$89))</f>
        <v>3</v>
      </c>
      <c r="C109" s="405">
        <f t="shared" si="16"/>
        <v>3</v>
      </c>
      <c r="D109" s="405">
        <f t="shared" si="16"/>
        <v>3.3</v>
      </c>
      <c r="E109" s="405">
        <f t="shared" si="16"/>
        <v>3.6</v>
      </c>
      <c r="F109" s="405">
        <f t="shared" si="16"/>
        <v>3.75</v>
      </c>
      <c r="G109" s="405">
        <f t="shared" si="16"/>
        <v>3.75</v>
      </c>
      <c r="H109" s="405">
        <f t="shared" si="16"/>
        <v>3.75</v>
      </c>
      <c r="I109" s="405">
        <f t="shared" si="16"/>
        <v>3.75</v>
      </c>
      <c r="J109" s="405">
        <f t="shared" si="16"/>
        <v>0</v>
      </c>
      <c r="K109" s="405">
        <f t="shared" si="16"/>
        <v>0</v>
      </c>
    </row>
    <row r="110" spans="1:11" s="8" customFormat="1">
      <c r="A110" s="284" t="s">
        <v>265</v>
      </c>
      <c r="B110" s="405">
        <f t="shared" ref="B110:K110" si="17">B153*IF(B195*SUM($B$88:$B$89)&gt;B$90,B$90,B195*SUM($B$88:$B$89))</f>
        <v>2.25</v>
      </c>
      <c r="C110" s="405">
        <f t="shared" si="17"/>
        <v>2.85</v>
      </c>
      <c r="D110" s="405">
        <f t="shared" si="17"/>
        <v>1.9499999999999997</v>
      </c>
      <c r="E110" s="405">
        <f t="shared" si="17"/>
        <v>2.0999999999999996</v>
      </c>
      <c r="F110" s="405">
        <f t="shared" si="17"/>
        <v>2.125</v>
      </c>
      <c r="G110" s="405">
        <f t="shared" si="17"/>
        <v>1.65</v>
      </c>
      <c r="H110" s="405">
        <f t="shared" si="17"/>
        <v>0.57500000000000007</v>
      </c>
      <c r="I110" s="405">
        <f t="shared" si="17"/>
        <v>0</v>
      </c>
      <c r="J110" s="405">
        <f t="shared" si="17"/>
        <v>0</v>
      </c>
      <c r="K110" s="405">
        <f t="shared" si="17"/>
        <v>0</v>
      </c>
    </row>
    <row r="111" spans="1:11" s="8" customFormat="1">
      <c r="A111" s="284" t="s">
        <v>961</v>
      </c>
      <c r="B111" s="405">
        <f t="shared" ref="B111:K111" si="18">B154*IF(B196*SUM($B$88:$B$89)&gt;B$90,B$90,B196*SUM($B$88:$B$89))</f>
        <v>0</v>
      </c>
      <c r="C111" s="405">
        <f t="shared" si="18"/>
        <v>0</v>
      </c>
      <c r="D111" s="405">
        <f t="shared" si="18"/>
        <v>0</v>
      </c>
      <c r="E111" s="405">
        <f t="shared" si="18"/>
        <v>0</v>
      </c>
      <c r="F111" s="405">
        <f t="shared" si="18"/>
        <v>0</v>
      </c>
      <c r="G111" s="405">
        <f t="shared" si="18"/>
        <v>0</v>
      </c>
      <c r="H111" s="405">
        <f t="shared" si="18"/>
        <v>0</v>
      </c>
      <c r="I111" s="405">
        <f t="shared" si="18"/>
        <v>0</v>
      </c>
      <c r="J111" s="405">
        <f t="shared" si="18"/>
        <v>0</v>
      </c>
      <c r="K111" s="405">
        <f t="shared" si="18"/>
        <v>0</v>
      </c>
    </row>
    <row r="112" spans="1:11" s="8" customFormat="1">
      <c r="A112" s="284" t="s">
        <v>1296</v>
      </c>
      <c r="B112" s="405">
        <f t="shared" ref="B112:K112" si="19">B155*IF(B197*SUM($B$88:$B$89)&gt;B$90,B$90,B197*SUM($B$88:$B$89))</f>
        <v>0</v>
      </c>
      <c r="C112" s="405">
        <f t="shared" si="19"/>
        <v>0</v>
      </c>
      <c r="D112" s="405">
        <f t="shared" si="19"/>
        <v>0</v>
      </c>
      <c r="E112" s="405">
        <f t="shared" si="19"/>
        <v>0</v>
      </c>
      <c r="F112" s="405">
        <f t="shared" si="19"/>
        <v>0</v>
      </c>
      <c r="G112" s="405">
        <f t="shared" si="19"/>
        <v>0</v>
      </c>
      <c r="H112" s="405">
        <f t="shared" si="19"/>
        <v>0</v>
      </c>
      <c r="I112" s="405">
        <f t="shared" si="19"/>
        <v>0</v>
      </c>
      <c r="J112" s="405">
        <f t="shared" si="19"/>
        <v>0</v>
      </c>
      <c r="K112" s="405">
        <f t="shared" si="19"/>
        <v>0</v>
      </c>
    </row>
    <row r="113" spans="1:11" s="8" customFormat="1">
      <c r="A113" s="284" t="s">
        <v>266</v>
      </c>
      <c r="B113" s="405">
        <f t="shared" ref="B113:K113" si="20">B156*IF(B198*SUM($B$88:$B$89)&gt;B$90,B$90,B198*SUM($B$88:$B$89))</f>
        <v>3</v>
      </c>
      <c r="C113" s="405">
        <f t="shared" si="20"/>
        <v>3</v>
      </c>
      <c r="D113" s="405">
        <f t="shared" si="20"/>
        <v>2.9450000000000003</v>
      </c>
      <c r="E113" s="405">
        <f t="shared" si="20"/>
        <v>2.3199999999999998</v>
      </c>
      <c r="F113" s="405">
        <f t="shared" si="20"/>
        <v>1.5024999999999999</v>
      </c>
      <c r="G113" s="405">
        <f t="shared" si="20"/>
        <v>1.35</v>
      </c>
      <c r="H113" s="405">
        <f t="shared" si="20"/>
        <v>1.0999999999999999</v>
      </c>
      <c r="I113" s="405">
        <f t="shared" si="20"/>
        <v>0.15000000000000002</v>
      </c>
      <c r="J113" s="405">
        <f t="shared" si="20"/>
        <v>0</v>
      </c>
      <c r="K113" s="405">
        <f t="shared" si="20"/>
        <v>0</v>
      </c>
    </row>
    <row r="114" spans="1:11" s="8" customFormat="1">
      <c r="A114" s="284" t="s">
        <v>268</v>
      </c>
      <c r="B114" s="405">
        <f t="shared" ref="B114:K114" si="21">B157*IF(B199*SUM($B$88:$B$89)&gt;B$90,B$90,B199*SUM($B$88:$B$89))</f>
        <v>3</v>
      </c>
      <c r="C114" s="405">
        <f t="shared" si="21"/>
        <v>3</v>
      </c>
      <c r="D114" s="405">
        <f t="shared" si="21"/>
        <v>3.3</v>
      </c>
      <c r="E114" s="405">
        <f t="shared" si="21"/>
        <v>3.6</v>
      </c>
      <c r="F114" s="405">
        <f t="shared" si="21"/>
        <v>3.75</v>
      </c>
      <c r="G114" s="405">
        <f t="shared" si="21"/>
        <v>3.75</v>
      </c>
      <c r="H114" s="405">
        <f t="shared" si="21"/>
        <v>2.3370000000000002</v>
      </c>
      <c r="I114" s="405">
        <f t="shared" si="21"/>
        <v>1.9064999999999999</v>
      </c>
      <c r="J114" s="405">
        <f t="shared" si="21"/>
        <v>0</v>
      </c>
      <c r="K114" s="405">
        <f t="shared" si="21"/>
        <v>0</v>
      </c>
    </row>
    <row r="115" spans="1:11" s="8" customFormat="1">
      <c r="A115" s="284" t="s">
        <v>1297</v>
      </c>
      <c r="B115" s="405">
        <f t="shared" ref="B115:K115" si="22">B158*IF(B200*SUM($B$88:$B$89)&gt;B$90,B$90,B200*SUM($B$88:$B$89))</f>
        <v>3</v>
      </c>
      <c r="C115" s="405">
        <f t="shared" si="22"/>
        <v>2.85</v>
      </c>
      <c r="D115" s="405">
        <f t="shared" si="22"/>
        <v>0.85</v>
      </c>
      <c r="E115" s="405">
        <f t="shared" si="22"/>
        <v>1.5</v>
      </c>
      <c r="F115" s="405">
        <f t="shared" si="22"/>
        <v>0</v>
      </c>
      <c r="G115" s="405">
        <f t="shared" si="22"/>
        <v>0</v>
      </c>
      <c r="H115" s="405">
        <f t="shared" si="22"/>
        <v>0</v>
      </c>
      <c r="I115" s="405">
        <f t="shared" si="22"/>
        <v>0</v>
      </c>
      <c r="J115" s="405">
        <f t="shared" si="22"/>
        <v>0</v>
      </c>
      <c r="K115" s="405">
        <f t="shared" si="22"/>
        <v>0</v>
      </c>
    </row>
    <row r="116" spans="1:11" s="8" customFormat="1">
      <c r="A116" s="284" t="s">
        <v>25</v>
      </c>
      <c r="B116" s="405">
        <f t="shared" ref="B116:K116" si="23">B159*IF(B201*SUM($B$88:$B$89)&gt;B$90,B$90,B201*SUM($B$88:$B$89))</f>
        <v>3</v>
      </c>
      <c r="C116" s="405">
        <f t="shared" si="23"/>
        <v>3</v>
      </c>
      <c r="D116" s="405">
        <f t="shared" si="23"/>
        <v>3.3</v>
      </c>
      <c r="E116" s="405">
        <f t="shared" si="23"/>
        <v>3.6</v>
      </c>
      <c r="F116" s="405">
        <f t="shared" si="23"/>
        <v>3.75</v>
      </c>
      <c r="G116" s="405">
        <f t="shared" si="23"/>
        <v>3.75</v>
      </c>
      <c r="H116" s="405">
        <f t="shared" si="23"/>
        <v>3.75</v>
      </c>
      <c r="I116" s="405">
        <f t="shared" si="23"/>
        <v>3.75</v>
      </c>
      <c r="J116" s="405">
        <f t="shared" si="23"/>
        <v>3.75</v>
      </c>
      <c r="K116" s="405">
        <f t="shared" si="23"/>
        <v>3.75</v>
      </c>
    </row>
    <row r="117" spans="1:11" s="8" customFormat="1">
      <c r="A117" s="284" t="s">
        <v>1298</v>
      </c>
      <c r="B117" s="405">
        <f t="shared" ref="B117:K117" si="24">B160*IF(B202*SUM($B$88:$B$89)&gt;B$90,B$90,B202*SUM($B$88:$B$89))</f>
        <v>3</v>
      </c>
      <c r="C117" s="405">
        <f t="shared" si="24"/>
        <v>1</v>
      </c>
      <c r="D117" s="405">
        <f t="shared" si="24"/>
        <v>0</v>
      </c>
      <c r="E117" s="405">
        <f t="shared" si="24"/>
        <v>0</v>
      </c>
      <c r="F117" s="405">
        <f t="shared" si="24"/>
        <v>0</v>
      </c>
      <c r="G117" s="405">
        <f t="shared" si="24"/>
        <v>0</v>
      </c>
      <c r="H117" s="405">
        <f t="shared" si="24"/>
        <v>0</v>
      </c>
      <c r="I117" s="405">
        <f t="shared" si="24"/>
        <v>0</v>
      </c>
      <c r="J117" s="405">
        <f t="shared" si="24"/>
        <v>0</v>
      </c>
      <c r="K117" s="405">
        <f t="shared" si="24"/>
        <v>0</v>
      </c>
    </row>
    <row r="118" spans="1:11" s="8" customFormat="1">
      <c r="A118" s="284" t="s">
        <v>1299</v>
      </c>
      <c r="B118" s="405">
        <f t="shared" ref="B118:K118" si="25">B161*IF(B203*SUM($B$88:$B$89)&gt;B$90,B$90,B203*SUM($B$88:$B$89))</f>
        <v>3</v>
      </c>
      <c r="C118" s="405">
        <f t="shared" si="25"/>
        <v>3</v>
      </c>
      <c r="D118" s="405">
        <f t="shared" si="25"/>
        <v>3.3</v>
      </c>
      <c r="E118" s="405">
        <f t="shared" si="25"/>
        <v>3.6</v>
      </c>
      <c r="F118" s="405">
        <f t="shared" si="25"/>
        <v>3.75</v>
      </c>
      <c r="G118" s="405">
        <f t="shared" si="25"/>
        <v>3.05</v>
      </c>
      <c r="H118" s="405">
        <f t="shared" si="25"/>
        <v>3</v>
      </c>
      <c r="I118" s="405">
        <f t="shared" si="25"/>
        <v>2.75</v>
      </c>
      <c r="J118" s="405">
        <f t="shared" si="25"/>
        <v>2.1</v>
      </c>
      <c r="K118" s="405">
        <f t="shared" si="25"/>
        <v>1.55</v>
      </c>
    </row>
    <row r="119" spans="1:11" s="8" customFormat="1">
      <c r="A119" s="284" t="s">
        <v>1300</v>
      </c>
      <c r="B119" s="405">
        <f t="shared" ref="B119:K119" si="26">B162*IF(B204*SUM($B$88:$B$89)&gt;B$90,B$90,B204*SUM($B$88:$B$89))</f>
        <v>3</v>
      </c>
      <c r="C119" s="405">
        <f t="shared" si="26"/>
        <v>3</v>
      </c>
      <c r="D119" s="405">
        <f t="shared" si="26"/>
        <v>3.3</v>
      </c>
      <c r="E119" s="405">
        <f t="shared" si="26"/>
        <v>3.6</v>
      </c>
      <c r="F119" s="405">
        <f t="shared" si="26"/>
        <v>3.75</v>
      </c>
      <c r="G119" s="405">
        <f t="shared" si="26"/>
        <v>3.75</v>
      </c>
      <c r="H119" s="405">
        <f t="shared" si="26"/>
        <v>3.75</v>
      </c>
      <c r="I119" s="405">
        <f t="shared" si="26"/>
        <v>3.75</v>
      </c>
      <c r="J119" s="405">
        <f t="shared" si="26"/>
        <v>3.75</v>
      </c>
      <c r="K119" s="405">
        <f t="shared" si="26"/>
        <v>3.75</v>
      </c>
    </row>
    <row r="120" spans="1:11" s="8" customFormat="1">
      <c r="A120" s="284" t="s">
        <v>1301</v>
      </c>
      <c r="B120" s="405">
        <f t="shared" ref="B120:K120" si="27">B163*IF(B205*SUM($B$88:$B$89)&gt;B$90,B$90,B205*SUM($B$88:$B$89))</f>
        <v>0</v>
      </c>
      <c r="C120" s="405">
        <f t="shared" si="27"/>
        <v>0</v>
      </c>
      <c r="D120" s="405">
        <f t="shared" si="27"/>
        <v>0</v>
      </c>
      <c r="E120" s="405">
        <f t="shared" si="27"/>
        <v>0</v>
      </c>
      <c r="F120" s="405">
        <f t="shared" si="27"/>
        <v>0</v>
      </c>
      <c r="G120" s="405">
        <f t="shared" si="27"/>
        <v>0</v>
      </c>
      <c r="H120" s="405">
        <f t="shared" si="27"/>
        <v>0</v>
      </c>
      <c r="I120" s="405">
        <f t="shared" si="27"/>
        <v>0</v>
      </c>
      <c r="J120" s="405">
        <f t="shared" si="27"/>
        <v>0</v>
      </c>
      <c r="K120" s="405">
        <f t="shared" si="27"/>
        <v>0</v>
      </c>
    </row>
    <row r="121" spans="1:11" s="8" customFormat="1">
      <c r="A121" s="284" t="s">
        <v>257</v>
      </c>
      <c r="B121" s="405">
        <f t="shared" ref="B121:K121" si="28">B164*IF(B206*SUM($B$88:$B$89)&gt;B$90,B$90,B206*SUM($B$88:$B$89))</f>
        <v>0</v>
      </c>
      <c r="C121" s="405">
        <f t="shared" si="28"/>
        <v>0</v>
      </c>
      <c r="D121" s="405">
        <f t="shared" si="28"/>
        <v>0</v>
      </c>
      <c r="E121" s="405">
        <f t="shared" si="28"/>
        <v>0</v>
      </c>
      <c r="F121" s="405">
        <f t="shared" si="28"/>
        <v>0</v>
      </c>
      <c r="G121" s="405">
        <f t="shared" si="28"/>
        <v>0</v>
      </c>
      <c r="H121" s="405">
        <f t="shared" si="28"/>
        <v>0</v>
      </c>
      <c r="I121" s="405">
        <f t="shared" si="28"/>
        <v>0</v>
      </c>
      <c r="J121" s="405">
        <f t="shared" si="28"/>
        <v>0</v>
      </c>
      <c r="K121" s="405">
        <f t="shared" si="28"/>
        <v>0</v>
      </c>
    </row>
    <row r="122" spans="1:11" s="8" customFormat="1">
      <c r="A122" s="284" t="s">
        <v>1302</v>
      </c>
      <c r="B122" s="405">
        <f t="shared" ref="B122:K122" si="29">B165*IF(B207*SUM($B$88:$B$89)&gt;B$90,B$90,B207*SUM($B$88:$B$89))</f>
        <v>1.7000000000000002</v>
      </c>
      <c r="C122" s="405">
        <f t="shared" si="29"/>
        <v>1.2</v>
      </c>
      <c r="D122" s="405">
        <f t="shared" si="29"/>
        <v>1</v>
      </c>
      <c r="E122" s="405">
        <f t="shared" si="29"/>
        <v>0.65</v>
      </c>
      <c r="F122" s="405">
        <f t="shared" si="29"/>
        <v>0</v>
      </c>
      <c r="G122" s="405">
        <f t="shared" si="29"/>
        <v>0</v>
      </c>
      <c r="H122" s="405">
        <f t="shared" si="29"/>
        <v>0</v>
      </c>
      <c r="I122" s="405">
        <f t="shared" si="29"/>
        <v>0</v>
      </c>
      <c r="J122" s="405">
        <f t="shared" si="29"/>
        <v>0</v>
      </c>
      <c r="K122" s="405">
        <f t="shared" si="29"/>
        <v>0</v>
      </c>
    </row>
    <row r="123" spans="1:11" s="8" customFormat="1">
      <c r="A123" s="284" t="s">
        <v>255</v>
      </c>
      <c r="B123" s="405">
        <f t="shared" ref="B123:K123" si="30">B166*IF(B208*SUM($B$88:$B$89)&gt;B$90,B$90,B208*SUM($B$88:$B$89))</f>
        <v>0</v>
      </c>
      <c r="C123" s="405">
        <f t="shared" si="30"/>
        <v>0</v>
      </c>
      <c r="D123" s="405">
        <f t="shared" si="30"/>
        <v>0</v>
      </c>
      <c r="E123" s="405">
        <f t="shared" si="30"/>
        <v>0</v>
      </c>
      <c r="F123" s="405">
        <f t="shared" si="30"/>
        <v>0</v>
      </c>
      <c r="G123" s="405">
        <f t="shared" si="30"/>
        <v>0</v>
      </c>
      <c r="H123" s="405">
        <f t="shared" si="30"/>
        <v>0</v>
      </c>
      <c r="I123" s="405">
        <f t="shared" si="30"/>
        <v>0</v>
      </c>
      <c r="J123" s="405">
        <f t="shared" si="30"/>
        <v>0</v>
      </c>
      <c r="K123" s="405">
        <f t="shared" si="30"/>
        <v>0</v>
      </c>
    </row>
    <row r="124" spans="1:11" s="8" customFormat="1">
      <c r="A124" s="284" t="s">
        <v>1303</v>
      </c>
      <c r="B124" s="405">
        <f t="shared" ref="B124:K124" si="31">B167*IF(B209*SUM($B$88:$B$89)&gt;B$90,B$90,B209*SUM($B$88:$B$89))</f>
        <v>0</v>
      </c>
      <c r="C124" s="405">
        <f t="shared" si="31"/>
        <v>0</v>
      </c>
      <c r="D124" s="405">
        <f t="shared" si="31"/>
        <v>0</v>
      </c>
      <c r="E124" s="405">
        <f t="shared" si="31"/>
        <v>0</v>
      </c>
      <c r="F124" s="405">
        <f t="shared" si="31"/>
        <v>0</v>
      </c>
      <c r="G124" s="405">
        <f t="shared" si="31"/>
        <v>0</v>
      </c>
      <c r="H124" s="405">
        <f t="shared" si="31"/>
        <v>0</v>
      </c>
      <c r="I124" s="405">
        <f t="shared" si="31"/>
        <v>0</v>
      </c>
      <c r="J124" s="405">
        <f t="shared" si="31"/>
        <v>0</v>
      </c>
      <c r="K124" s="405">
        <f t="shared" si="31"/>
        <v>0</v>
      </c>
    </row>
    <row r="125" spans="1:11" s="8" customFormat="1">
      <c r="A125" s="284" t="s">
        <v>58</v>
      </c>
      <c r="B125" s="405">
        <f t="shared" ref="B125:K125" si="32">B168*IF(B210*SUM($B$88:$B$89)&gt;B$90,B$90,B210*SUM($B$88:$B$89))</f>
        <v>0</v>
      </c>
      <c r="C125" s="405">
        <f t="shared" si="32"/>
        <v>0</v>
      </c>
      <c r="D125" s="405">
        <f t="shared" si="32"/>
        <v>0</v>
      </c>
      <c r="E125" s="405">
        <f t="shared" si="32"/>
        <v>0</v>
      </c>
      <c r="F125" s="405">
        <f t="shared" si="32"/>
        <v>0</v>
      </c>
      <c r="G125" s="405">
        <f t="shared" si="32"/>
        <v>0</v>
      </c>
      <c r="H125" s="405">
        <f t="shared" si="32"/>
        <v>0</v>
      </c>
      <c r="I125" s="405">
        <f t="shared" si="32"/>
        <v>0</v>
      </c>
      <c r="J125" s="405">
        <f t="shared" si="32"/>
        <v>0</v>
      </c>
      <c r="K125" s="405">
        <f t="shared" si="32"/>
        <v>0</v>
      </c>
    </row>
    <row r="126" spans="1:11" s="8" customFormat="1">
      <c r="A126" s="284" t="s">
        <v>29</v>
      </c>
      <c r="B126" s="405">
        <f t="shared" ref="B126:K126" si="33">B169*IF(B211*SUM($B$88:$B$89)&gt;B$90,B$90,B211*SUM($B$88:$B$89))</f>
        <v>0</v>
      </c>
      <c r="C126" s="405">
        <f t="shared" si="33"/>
        <v>0</v>
      </c>
      <c r="D126" s="405">
        <f t="shared" si="33"/>
        <v>0</v>
      </c>
      <c r="E126" s="405">
        <f t="shared" si="33"/>
        <v>0</v>
      </c>
      <c r="F126" s="405">
        <f t="shared" si="33"/>
        <v>0</v>
      </c>
      <c r="G126" s="405">
        <f t="shared" si="33"/>
        <v>0</v>
      </c>
      <c r="H126" s="405">
        <f t="shared" si="33"/>
        <v>0</v>
      </c>
      <c r="I126" s="405">
        <f t="shared" si="33"/>
        <v>0</v>
      </c>
      <c r="J126" s="405">
        <f t="shared" si="33"/>
        <v>0</v>
      </c>
      <c r="K126" s="405">
        <f t="shared" si="33"/>
        <v>0</v>
      </c>
    </row>
    <row r="127" spans="1:11" s="8" customFormat="1">
      <c r="A127" s="284" t="s">
        <v>1304</v>
      </c>
      <c r="B127" s="405">
        <f>B170*B212*SUM($B$88:$B$89)</f>
        <v>5.5875000000000004</v>
      </c>
      <c r="C127" s="405">
        <f t="shared" ref="C127:K127" si="34">C170*C212*SUM($B$88:$B$89)</f>
        <v>4.8499999999999996</v>
      </c>
      <c r="D127" s="405">
        <f t="shared" si="34"/>
        <v>5.6</v>
      </c>
      <c r="E127" s="405">
        <f t="shared" si="34"/>
        <v>14.6875</v>
      </c>
      <c r="F127" s="405">
        <f t="shared" si="34"/>
        <v>23.454691073093201</v>
      </c>
      <c r="G127" s="405">
        <f t="shared" si="34"/>
        <v>26.293895247958936</v>
      </c>
      <c r="H127" s="405">
        <f t="shared" si="34"/>
        <v>38.821211549904135</v>
      </c>
      <c r="I127" s="405">
        <f t="shared" si="34"/>
        <v>15.314284009751745</v>
      </c>
      <c r="J127" s="405">
        <f t="shared" si="34"/>
        <v>19.212500000000006</v>
      </c>
      <c r="K127" s="405">
        <f t="shared" si="34"/>
        <v>16.837499999999999</v>
      </c>
    </row>
    <row r="128" spans="1:11" s="8" customFormat="1">
      <c r="A128" s="284" t="s">
        <v>28</v>
      </c>
      <c r="B128" s="405">
        <f>B171*B213*SUM($B$88:$B$89)</f>
        <v>2.1249999999999929</v>
      </c>
      <c r="C128" s="405">
        <f t="shared" ref="C128:K128" si="35">C171*C213*SUM($B$88:$B$89)</f>
        <v>3.3624999999999772</v>
      </c>
      <c r="D128" s="405">
        <f t="shared" si="35"/>
        <v>3.9500000000000086</v>
      </c>
      <c r="E128" s="405">
        <f t="shared" si="35"/>
        <v>6.1762272500000206</v>
      </c>
      <c r="F128" s="405">
        <f t="shared" si="35"/>
        <v>10.932943491930409</v>
      </c>
      <c r="G128" s="405">
        <f t="shared" si="35"/>
        <v>17.829036749999961</v>
      </c>
      <c r="H128" s="405">
        <f t="shared" si="35"/>
        <v>27.962485000000072</v>
      </c>
      <c r="I128" s="405">
        <f t="shared" si="35"/>
        <v>48.608390999999912</v>
      </c>
      <c r="J128" s="405">
        <f t="shared" si="35"/>
        <v>56.252619397126907</v>
      </c>
      <c r="K128" s="405">
        <f t="shared" si="35"/>
        <v>59.939932999999918</v>
      </c>
    </row>
    <row r="129" spans="1:11" s="8" customFormat="1">
      <c r="A129" s="404" t="s">
        <v>30</v>
      </c>
      <c r="B129" s="420">
        <f>SUM(B93:B128)</f>
        <v>53.464499999999994</v>
      </c>
      <c r="C129" s="420">
        <f t="shared" ref="C129:K129" si="36">SUM(C93:C128)</f>
        <v>52.062499999999986</v>
      </c>
      <c r="D129" s="420">
        <f t="shared" si="36"/>
        <v>51.845000000000006</v>
      </c>
      <c r="E129" s="420">
        <f t="shared" si="36"/>
        <v>67.033727250000027</v>
      </c>
      <c r="F129" s="420">
        <f t="shared" si="36"/>
        <v>81.639347565023627</v>
      </c>
      <c r="G129" s="420">
        <f t="shared" si="36"/>
        <v>91.422931997958884</v>
      </c>
      <c r="H129" s="420">
        <f t="shared" si="36"/>
        <v>109.24569654990421</v>
      </c>
      <c r="I129" s="420">
        <f t="shared" si="36"/>
        <v>105.94499850975166</v>
      </c>
      <c r="J129" s="420">
        <f t="shared" si="36"/>
        <v>110.51351089712691</v>
      </c>
      <c r="K129" s="420">
        <f t="shared" si="36"/>
        <v>110.80493299999992</v>
      </c>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9" t="s">
        <v>1305</v>
      </c>
      <c r="B134" s="8"/>
      <c r="C134" s="8"/>
      <c r="D134" s="8"/>
      <c r="E134" s="8"/>
      <c r="F134" s="8"/>
      <c r="G134" s="8"/>
      <c r="H134" s="8"/>
      <c r="I134" s="8"/>
      <c r="J134" s="8"/>
      <c r="K134" s="8"/>
    </row>
    <row r="135" spans="1:11" s="368" customFormat="1">
      <c r="A135" s="162" t="s">
        <v>1282</v>
      </c>
      <c r="B135" s="168" t="s">
        <v>1283</v>
      </c>
      <c r="C135" s="168" t="s">
        <v>1284</v>
      </c>
      <c r="D135" s="66" t="s">
        <v>1285</v>
      </c>
      <c r="E135" s="66" t="s">
        <v>1286</v>
      </c>
      <c r="F135" s="66" t="s">
        <v>1287</v>
      </c>
      <c r="G135" s="66" t="s">
        <v>1288</v>
      </c>
      <c r="H135" s="66" t="s">
        <v>1289</v>
      </c>
      <c r="I135" s="66" t="s">
        <v>1290</v>
      </c>
      <c r="J135" s="66" t="s">
        <v>1291</v>
      </c>
      <c r="K135" s="66" t="s">
        <v>1292</v>
      </c>
    </row>
    <row r="136" spans="1:11" s="368" customFormat="1">
      <c r="A136" s="283" t="s">
        <v>1293</v>
      </c>
      <c r="B136" s="494">
        <v>0</v>
      </c>
      <c r="C136" s="494">
        <v>0</v>
      </c>
      <c r="D136" s="494">
        <v>0</v>
      </c>
      <c r="E136" s="494">
        <v>0</v>
      </c>
      <c r="F136" s="494">
        <v>0</v>
      </c>
      <c r="G136" s="494">
        <v>0</v>
      </c>
      <c r="H136" s="494">
        <v>0</v>
      </c>
      <c r="I136" s="494">
        <v>0</v>
      </c>
      <c r="J136" s="494">
        <v>0</v>
      </c>
      <c r="K136" s="494">
        <v>0</v>
      </c>
    </row>
    <row r="137" spans="1:11" s="368" customFormat="1">
      <c r="A137" s="283" t="s">
        <v>1294</v>
      </c>
      <c r="B137" s="406">
        <v>1</v>
      </c>
      <c r="C137" s="406">
        <v>1</v>
      </c>
      <c r="D137" s="494">
        <v>1</v>
      </c>
      <c r="E137" s="494">
        <v>1</v>
      </c>
      <c r="F137" s="494">
        <v>1</v>
      </c>
      <c r="G137" s="494">
        <v>1</v>
      </c>
      <c r="H137" s="494">
        <v>1</v>
      </c>
      <c r="I137" s="494">
        <v>1</v>
      </c>
      <c r="J137" s="494">
        <v>1</v>
      </c>
      <c r="K137" s="494">
        <v>1</v>
      </c>
    </row>
    <row r="138" spans="1:11" s="368" customFormat="1">
      <c r="A138" s="284" t="s">
        <v>26</v>
      </c>
      <c r="B138" s="406">
        <v>1</v>
      </c>
      <c r="C138" s="406">
        <v>1</v>
      </c>
      <c r="D138" s="494">
        <v>1</v>
      </c>
      <c r="E138" s="494">
        <v>1</v>
      </c>
      <c r="F138" s="494">
        <v>1</v>
      </c>
      <c r="G138" s="494">
        <v>1</v>
      </c>
      <c r="H138" s="494">
        <v>1</v>
      </c>
      <c r="I138" s="494">
        <v>1</v>
      </c>
      <c r="J138" s="494">
        <v>1</v>
      </c>
      <c r="K138" s="494">
        <v>1</v>
      </c>
    </row>
    <row r="139" spans="1:11" s="368" customFormat="1">
      <c r="A139" s="283" t="s">
        <v>269</v>
      </c>
      <c r="B139" s="406">
        <v>0</v>
      </c>
      <c r="C139" s="406">
        <v>0</v>
      </c>
      <c r="D139" s="494">
        <v>0</v>
      </c>
      <c r="E139" s="494">
        <v>0</v>
      </c>
      <c r="F139" s="494">
        <v>0</v>
      </c>
      <c r="G139" s="494">
        <v>0</v>
      </c>
      <c r="H139" s="494">
        <v>0</v>
      </c>
      <c r="I139" s="494">
        <v>0</v>
      </c>
      <c r="J139" s="494">
        <v>0</v>
      </c>
      <c r="K139" s="494">
        <v>0</v>
      </c>
    </row>
    <row r="140" spans="1:11" s="368" customFormat="1">
      <c r="A140" s="284" t="s">
        <v>270</v>
      </c>
      <c r="B140" s="406">
        <v>0</v>
      </c>
      <c r="C140" s="406">
        <v>0</v>
      </c>
      <c r="D140" s="494">
        <v>0</v>
      </c>
      <c r="E140" s="494">
        <v>0</v>
      </c>
      <c r="F140" s="494">
        <v>0</v>
      </c>
      <c r="G140" s="494">
        <v>0</v>
      </c>
      <c r="H140" s="494">
        <v>0</v>
      </c>
      <c r="I140" s="494">
        <v>0</v>
      </c>
      <c r="J140" s="494">
        <v>0</v>
      </c>
      <c r="K140" s="494">
        <v>0</v>
      </c>
    </row>
    <row r="141" spans="1:11" s="368" customFormat="1">
      <c r="A141" s="284" t="s">
        <v>974</v>
      </c>
      <c r="B141" s="406">
        <v>0</v>
      </c>
      <c r="C141" s="406">
        <v>0</v>
      </c>
      <c r="D141" s="494">
        <v>0</v>
      </c>
      <c r="E141" s="494">
        <v>0</v>
      </c>
      <c r="F141" s="494">
        <v>0</v>
      </c>
      <c r="G141" s="494">
        <v>0</v>
      </c>
      <c r="H141" s="494">
        <v>0</v>
      </c>
      <c r="I141" s="494">
        <v>1</v>
      </c>
      <c r="J141" s="494">
        <v>1</v>
      </c>
      <c r="K141" s="494">
        <v>1</v>
      </c>
    </row>
    <row r="142" spans="1:11" s="368" customFormat="1">
      <c r="A142" s="284" t="s">
        <v>263</v>
      </c>
      <c r="B142" s="406">
        <v>0</v>
      </c>
      <c r="C142" s="406">
        <v>0</v>
      </c>
      <c r="D142" s="494">
        <v>0</v>
      </c>
      <c r="E142" s="494">
        <v>0</v>
      </c>
      <c r="F142" s="494">
        <v>0</v>
      </c>
      <c r="G142" s="494">
        <v>0</v>
      </c>
      <c r="H142" s="494">
        <v>0</v>
      </c>
      <c r="I142" s="494">
        <v>0</v>
      </c>
      <c r="J142" s="494">
        <v>0</v>
      </c>
      <c r="K142" s="494">
        <v>0</v>
      </c>
    </row>
    <row r="143" spans="1:11" s="368" customFormat="1">
      <c r="A143" s="284" t="s">
        <v>264</v>
      </c>
      <c r="B143" s="406">
        <v>1</v>
      </c>
      <c r="C143" s="406">
        <v>1</v>
      </c>
      <c r="D143" s="494">
        <v>1</v>
      </c>
      <c r="E143" s="494">
        <v>1</v>
      </c>
      <c r="F143" s="494">
        <v>1</v>
      </c>
      <c r="G143" s="494">
        <v>1</v>
      </c>
      <c r="H143" s="494">
        <v>1</v>
      </c>
      <c r="I143" s="494">
        <v>1</v>
      </c>
      <c r="J143" s="494">
        <v>1</v>
      </c>
      <c r="K143" s="494">
        <v>1</v>
      </c>
    </row>
    <row r="144" spans="1:11" s="368" customFormat="1">
      <c r="A144" s="284" t="s">
        <v>51</v>
      </c>
      <c r="B144" s="406">
        <v>1</v>
      </c>
      <c r="C144" s="406">
        <v>1</v>
      </c>
      <c r="D144" s="494">
        <v>1</v>
      </c>
      <c r="E144" s="494">
        <v>1</v>
      </c>
      <c r="F144" s="494">
        <v>1</v>
      </c>
      <c r="G144" s="494">
        <v>1</v>
      </c>
      <c r="H144" s="494">
        <v>1</v>
      </c>
      <c r="I144" s="494">
        <v>1</v>
      </c>
      <c r="J144" s="494">
        <v>1</v>
      </c>
      <c r="K144" s="494">
        <v>1</v>
      </c>
    </row>
    <row r="145" spans="1:11" s="368" customFormat="1">
      <c r="A145" s="284" t="s">
        <v>33</v>
      </c>
      <c r="B145" s="406">
        <v>0</v>
      </c>
      <c r="C145" s="406">
        <v>0</v>
      </c>
      <c r="D145" s="494">
        <v>0</v>
      </c>
      <c r="E145" s="494">
        <v>0</v>
      </c>
      <c r="F145" s="494">
        <v>0</v>
      </c>
      <c r="G145" s="494">
        <v>0</v>
      </c>
      <c r="H145" s="494">
        <v>0</v>
      </c>
      <c r="I145" s="494">
        <v>0</v>
      </c>
      <c r="J145" s="494">
        <v>0</v>
      </c>
      <c r="K145" s="494">
        <v>0</v>
      </c>
    </row>
    <row r="146" spans="1:11" s="368" customFormat="1">
      <c r="A146" s="284" t="s">
        <v>425</v>
      </c>
      <c r="B146" s="406">
        <v>1</v>
      </c>
      <c r="C146" s="406">
        <v>1</v>
      </c>
      <c r="D146" s="494">
        <v>1</v>
      </c>
      <c r="E146" s="494">
        <v>1</v>
      </c>
      <c r="F146" s="494">
        <v>1</v>
      </c>
      <c r="G146" s="494">
        <v>1</v>
      </c>
      <c r="H146" s="494">
        <v>1</v>
      </c>
      <c r="I146" s="494">
        <v>1</v>
      </c>
      <c r="J146" s="494">
        <v>1</v>
      </c>
      <c r="K146" s="494">
        <v>1</v>
      </c>
    </row>
    <row r="147" spans="1:11" s="368" customFormat="1">
      <c r="A147" s="284" t="s">
        <v>45</v>
      </c>
      <c r="B147" s="406">
        <v>0</v>
      </c>
      <c r="C147" s="406">
        <v>0</v>
      </c>
      <c r="D147" s="494">
        <v>0</v>
      </c>
      <c r="E147" s="494">
        <v>0</v>
      </c>
      <c r="F147" s="494">
        <v>0</v>
      </c>
      <c r="G147" s="494">
        <v>0</v>
      </c>
      <c r="H147" s="494">
        <v>0</v>
      </c>
      <c r="I147" s="494">
        <v>0</v>
      </c>
      <c r="J147" s="494">
        <v>0</v>
      </c>
      <c r="K147" s="494">
        <v>0</v>
      </c>
    </row>
    <row r="148" spans="1:11" s="368" customFormat="1">
      <c r="A148" s="284" t="s">
        <v>927</v>
      </c>
      <c r="B148" s="406">
        <v>1</v>
      </c>
      <c r="C148" s="406">
        <v>1</v>
      </c>
      <c r="D148" s="494">
        <v>1</v>
      </c>
      <c r="E148" s="494">
        <v>1</v>
      </c>
      <c r="F148" s="494">
        <v>1</v>
      </c>
      <c r="G148" s="494">
        <v>1</v>
      </c>
      <c r="H148" s="494">
        <v>1</v>
      </c>
      <c r="I148" s="494">
        <v>1</v>
      </c>
      <c r="J148" s="494">
        <v>1</v>
      </c>
      <c r="K148" s="494">
        <v>1</v>
      </c>
    </row>
    <row r="149" spans="1:11" s="368" customFormat="1">
      <c r="A149" s="284" t="s">
        <v>56</v>
      </c>
      <c r="B149" s="406">
        <v>0</v>
      </c>
      <c r="C149" s="406">
        <v>0</v>
      </c>
      <c r="D149" s="494">
        <v>0</v>
      </c>
      <c r="E149" s="494">
        <v>0</v>
      </c>
      <c r="F149" s="494">
        <v>0</v>
      </c>
      <c r="G149" s="494">
        <v>0</v>
      </c>
      <c r="H149" s="494">
        <v>0</v>
      </c>
      <c r="I149" s="494">
        <v>0</v>
      </c>
      <c r="J149" s="494">
        <v>0</v>
      </c>
      <c r="K149" s="494">
        <v>0</v>
      </c>
    </row>
    <row r="150" spans="1:11" s="368" customFormat="1">
      <c r="A150" s="284" t="s">
        <v>54</v>
      </c>
      <c r="B150" s="406">
        <v>1</v>
      </c>
      <c r="C150" s="406">
        <v>1</v>
      </c>
      <c r="D150" s="494">
        <v>1</v>
      </c>
      <c r="E150" s="494">
        <v>1</v>
      </c>
      <c r="F150" s="494">
        <v>1</v>
      </c>
      <c r="G150" s="494">
        <v>1</v>
      </c>
      <c r="H150" s="494">
        <v>1</v>
      </c>
      <c r="I150" s="494">
        <v>1</v>
      </c>
      <c r="J150" s="494">
        <v>1</v>
      </c>
      <c r="K150" s="494">
        <v>1</v>
      </c>
    </row>
    <row r="151" spans="1:11" s="368" customFormat="1">
      <c r="A151" s="284" t="s">
        <v>1295</v>
      </c>
      <c r="B151" s="406">
        <v>1</v>
      </c>
      <c r="C151" s="406">
        <v>1</v>
      </c>
      <c r="D151" s="494">
        <v>1</v>
      </c>
      <c r="E151" s="494">
        <v>1</v>
      </c>
      <c r="F151" s="494">
        <v>1</v>
      </c>
      <c r="G151" s="494">
        <v>1</v>
      </c>
      <c r="H151" s="494">
        <v>1</v>
      </c>
      <c r="I151" s="494">
        <v>1</v>
      </c>
      <c r="J151" s="494">
        <v>1</v>
      </c>
      <c r="K151" s="494">
        <v>1</v>
      </c>
    </row>
    <row r="152" spans="1:11" s="368" customFormat="1">
      <c r="A152" s="284" t="s">
        <v>50</v>
      </c>
      <c r="B152" s="406">
        <v>1</v>
      </c>
      <c r="C152" s="406">
        <v>1</v>
      </c>
      <c r="D152" s="494">
        <v>1</v>
      </c>
      <c r="E152" s="494">
        <v>1</v>
      </c>
      <c r="F152" s="494">
        <v>1</v>
      </c>
      <c r="G152" s="494">
        <v>1</v>
      </c>
      <c r="H152" s="494">
        <v>1</v>
      </c>
      <c r="I152" s="494">
        <v>1</v>
      </c>
      <c r="J152" s="494">
        <v>1</v>
      </c>
      <c r="K152" s="494">
        <v>1</v>
      </c>
    </row>
    <row r="153" spans="1:11" s="368" customFormat="1">
      <c r="A153" s="284" t="s">
        <v>265</v>
      </c>
      <c r="B153" s="406">
        <v>1</v>
      </c>
      <c r="C153" s="406">
        <v>1</v>
      </c>
      <c r="D153" s="494">
        <v>1</v>
      </c>
      <c r="E153" s="494">
        <v>1</v>
      </c>
      <c r="F153" s="494">
        <v>1</v>
      </c>
      <c r="G153" s="494">
        <v>1</v>
      </c>
      <c r="H153" s="494">
        <v>1</v>
      </c>
      <c r="I153" s="494">
        <v>1</v>
      </c>
      <c r="J153" s="494">
        <v>1</v>
      </c>
      <c r="K153" s="494">
        <v>1</v>
      </c>
    </row>
    <row r="154" spans="1:11" s="368" customFormat="1">
      <c r="A154" s="284" t="s">
        <v>961</v>
      </c>
      <c r="B154" s="494">
        <v>0</v>
      </c>
      <c r="C154" s="494">
        <v>0</v>
      </c>
      <c r="D154" s="494">
        <v>0</v>
      </c>
      <c r="E154" s="494">
        <v>0</v>
      </c>
      <c r="F154" s="494">
        <v>0</v>
      </c>
      <c r="G154" s="494">
        <v>0</v>
      </c>
      <c r="H154" s="494">
        <v>0</v>
      </c>
      <c r="I154" s="494">
        <v>0</v>
      </c>
      <c r="J154" s="494">
        <v>0</v>
      </c>
      <c r="K154" s="494">
        <v>0</v>
      </c>
    </row>
    <row r="155" spans="1:11" s="368" customFormat="1">
      <c r="A155" s="284" t="s">
        <v>1296</v>
      </c>
      <c r="B155" s="494">
        <v>0</v>
      </c>
      <c r="C155" s="494">
        <v>0</v>
      </c>
      <c r="D155" s="494">
        <v>0</v>
      </c>
      <c r="E155" s="494">
        <v>0</v>
      </c>
      <c r="F155" s="494">
        <v>0</v>
      </c>
      <c r="G155" s="494">
        <v>0</v>
      </c>
      <c r="H155" s="494">
        <v>0</v>
      </c>
      <c r="I155" s="494">
        <v>0</v>
      </c>
      <c r="J155" s="494">
        <v>0</v>
      </c>
      <c r="K155" s="494">
        <v>0</v>
      </c>
    </row>
    <row r="156" spans="1:11" s="368" customFormat="1">
      <c r="A156" s="284" t="s">
        <v>266</v>
      </c>
      <c r="B156" s="494">
        <v>1</v>
      </c>
      <c r="C156" s="494">
        <v>1</v>
      </c>
      <c r="D156" s="494">
        <v>1</v>
      </c>
      <c r="E156" s="494">
        <v>1</v>
      </c>
      <c r="F156" s="494">
        <v>1</v>
      </c>
      <c r="G156" s="494">
        <v>1</v>
      </c>
      <c r="H156" s="494">
        <v>1</v>
      </c>
      <c r="I156" s="494">
        <v>1</v>
      </c>
      <c r="J156" s="494">
        <v>1</v>
      </c>
      <c r="K156" s="494">
        <v>1</v>
      </c>
    </row>
    <row r="157" spans="1:11" s="368" customFormat="1">
      <c r="A157" s="284" t="s">
        <v>268</v>
      </c>
      <c r="B157" s="494">
        <v>1</v>
      </c>
      <c r="C157" s="494">
        <v>1</v>
      </c>
      <c r="D157" s="494">
        <v>1</v>
      </c>
      <c r="E157" s="494">
        <v>1</v>
      </c>
      <c r="F157" s="494">
        <v>1</v>
      </c>
      <c r="G157" s="494">
        <v>1</v>
      </c>
      <c r="H157" s="494">
        <v>1</v>
      </c>
      <c r="I157" s="494">
        <v>1</v>
      </c>
      <c r="J157" s="494">
        <v>1</v>
      </c>
      <c r="K157" s="494">
        <v>1</v>
      </c>
    </row>
    <row r="158" spans="1:11" s="368" customFormat="1">
      <c r="A158" s="284" t="s">
        <v>1297</v>
      </c>
      <c r="B158" s="494">
        <v>1</v>
      </c>
      <c r="C158" s="494">
        <v>1</v>
      </c>
      <c r="D158" s="494">
        <v>1</v>
      </c>
      <c r="E158" s="494">
        <v>1</v>
      </c>
      <c r="F158" s="494">
        <v>1</v>
      </c>
      <c r="G158" s="494">
        <v>1</v>
      </c>
      <c r="H158" s="494">
        <v>1</v>
      </c>
      <c r="I158" s="494">
        <v>1</v>
      </c>
      <c r="J158" s="494">
        <v>1</v>
      </c>
      <c r="K158" s="494">
        <v>1</v>
      </c>
    </row>
    <row r="159" spans="1:11" s="368" customFormat="1">
      <c r="A159" s="284" t="s">
        <v>25</v>
      </c>
      <c r="B159" s="494">
        <v>1</v>
      </c>
      <c r="C159" s="494">
        <v>1</v>
      </c>
      <c r="D159" s="494">
        <v>1</v>
      </c>
      <c r="E159" s="494">
        <v>1</v>
      </c>
      <c r="F159" s="494">
        <v>1</v>
      </c>
      <c r="G159" s="494">
        <v>1</v>
      </c>
      <c r="H159" s="494">
        <v>1</v>
      </c>
      <c r="I159" s="494">
        <v>1</v>
      </c>
      <c r="J159" s="494">
        <v>1</v>
      </c>
      <c r="K159" s="494">
        <v>1</v>
      </c>
    </row>
    <row r="160" spans="1:11" s="368" customFormat="1">
      <c r="A160" s="284" t="s">
        <v>1298</v>
      </c>
      <c r="B160" s="494">
        <v>1</v>
      </c>
      <c r="C160" s="494">
        <v>1</v>
      </c>
      <c r="D160" s="494">
        <v>1</v>
      </c>
      <c r="E160" s="494">
        <v>1</v>
      </c>
      <c r="F160" s="494">
        <v>1</v>
      </c>
      <c r="G160" s="494">
        <v>1</v>
      </c>
      <c r="H160" s="494">
        <v>1</v>
      </c>
      <c r="I160" s="494">
        <v>1</v>
      </c>
      <c r="J160" s="494">
        <v>1</v>
      </c>
      <c r="K160" s="494">
        <v>1</v>
      </c>
    </row>
    <row r="161" spans="1:11" s="368" customFormat="1">
      <c r="A161" s="284" t="s">
        <v>1299</v>
      </c>
      <c r="B161" s="494">
        <v>1</v>
      </c>
      <c r="C161" s="494">
        <v>1</v>
      </c>
      <c r="D161" s="494">
        <v>1</v>
      </c>
      <c r="E161" s="494">
        <v>1</v>
      </c>
      <c r="F161" s="494">
        <v>1</v>
      </c>
      <c r="G161" s="494">
        <v>1</v>
      </c>
      <c r="H161" s="494">
        <v>1</v>
      </c>
      <c r="I161" s="494">
        <v>1</v>
      </c>
      <c r="J161" s="494">
        <v>1</v>
      </c>
      <c r="K161" s="494">
        <v>1</v>
      </c>
    </row>
    <row r="162" spans="1:11" s="368" customFormat="1">
      <c r="A162" s="284" t="s">
        <v>1300</v>
      </c>
      <c r="B162" s="494">
        <v>1</v>
      </c>
      <c r="C162" s="494">
        <v>1</v>
      </c>
      <c r="D162" s="494">
        <v>1</v>
      </c>
      <c r="E162" s="494">
        <v>1</v>
      </c>
      <c r="F162" s="494">
        <v>1</v>
      </c>
      <c r="G162" s="494">
        <v>1</v>
      </c>
      <c r="H162" s="494">
        <v>1</v>
      </c>
      <c r="I162" s="494">
        <v>1</v>
      </c>
      <c r="J162" s="494">
        <v>1</v>
      </c>
      <c r="K162" s="494">
        <v>1</v>
      </c>
    </row>
    <row r="163" spans="1:11" s="368" customFormat="1">
      <c r="A163" s="284" t="s">
        <v>1301</v>
      </c>
      <c r="B163" s="494">
        <v>0</v>
      </c>
      <c r="C163" s="494">
        <v>0</v>
      </c>
      <c r="D163" s="494">
        <v>0</v>
      </c>
      <c r="E163" s="494">
        <v>0</v>
      </c>
      <c r="F163" s="494">
        <v>0</v>
      </c>
      <c r="G163" s="494">
        <v>0</v>
      </c>
      <c r="H163" s="494">
        <v>0</v>
      </c>
      <c r="I163" s="494">
        <v>0</v>
      </c>
      <c r="J163" s="494">
        <v>0</v>
      </c>
      <c r="K163" s="494">
        <v>0</v>
      </c>
    </row>
    <row r="164" spans="1:11" s="368" customFormat="1">
      <c r="A164" s="284" t="s">
        <v>257</v>
      </c>
      <c r="B164" s="494">
        <v>0</v>
      </c>
      <c r="C164" s="494">
        <v>0</v>
      </c>
      <c r="D164" s="494">
        <v>0</v>
      </c>
      <c r="E164" s="494">
        <v>0</v>
      </c>
      <c r="F164" s="494">
        <v>0</v>
      </c>
      <c r="G164" s="494">
        <v>0</v>
      </c>
      <c r="H164" s="494">
        <v>0</v>
      </c>
      <c r="I164" s="494">
        <v>0</v>
      </c>
      <c r="J164" s="494">
        <v>0</v>
      </c>
      <c r="K164" s="494">
        <v>0</v>
      </c>
    </row>
    <row r="165" spans="1:11" s="368" customFormat="1">
      <c r="A165" s="284" t="s">
        <v>1302</v>
      </c>
      <c r="B165" s="494">
        <v>1</v>
      </c>
      <c r="C165" s="494">
        <v>1</v>
      </c>
      <c r="D165" s="494">
        <v>1</v>
      </c>
      <c r="E165" s="494">
        <v>1</v>
      </c>
      <c r="F165" s="494">
        <v>1</v>
      </c>
      <c r="G165" s="494">
        <v>1</v>
      </c>
      <c r="H165" s="494">
        <v>1</v>
      </c>
      <c r="I165" s="494">
        <v>1</v>
      </c>
      <c r="J165" s="494">
        <v>1</v>
      </c>
      <c r="K165" s="494">
        <v>1</v>
      </c>
    </row>
    <row r="166" spans="1:11" s="368" customFormat="1">
      <c r="A166" s="284" t="s">
        <v>255</v>
      </c>
      <c r="B166" s="494">
        <v>0</v>
      </c>
      <c r="C166" s="494">
        <v>0</v>
      </c>
      <c r="D166" s="494">
        <v>0</v>
      </c>
      <c r="E166" s="494">
        <v>0</v>
      </c>
      <c r="F166" s="494">
        <v>0</v>
      </c>
      <c r="G166" s="494">
        <v>0</v>
      </c>
      <c r="H166" s="494">
        <v>0</v>
      </c>
      <c r="I166" s="494">
        <v>0</v>
      </c>
      <c r="J166" s="494">
        <v>0</v>
      </c>
      <c r="K166" s="494">
        <v>0</v>
      </c>
    </row>
    <row r="167" spans="1:11" s="368" customFormat="1">
      <c r="A167" s="284" t="s">
        <v>1303</v>
      </c>
      <c r="B167" s="494">
        <v>0</v>
      </c>
      <c r="C167" s="494">
        <v>0</v>
      </c>
      <c r="D167" s="494">
        <v>0</v>
      </c>
      <c r="E167" s="494">
        <v>0</v>
      </c>
      <c r="F167" s="494">
        <v>0</v>
      </c>
      <c r="G167" s="494">
        <v>0</v>
      </c>
      <c r="H167" s="494">
        <v>0</v>
      </c>
      <c r="I167" s="494">
        <v>0</v>
      </c>
      <c r="J167" s="494">
        <v>0</v>
      </c>
      <c r="K167" s="494">
        <v>0</v>
      </c>
    </row>
    <row r="168" spans="1:11" s="368" customFormat="1">
      <c r="A168" s="284" t="s">
        <v>58</v>
      </c>
      <c r="B168" s="494">
        <v>0</v>
      </c>
      <c r="C168" s="494">
        <v>0</v>
      </c>
      <c r="D168" s="494">
        <v>0</v>
      </c>
      <c r="E168" s="494">
        <v>0</v>
      </c>
      <c r="F168" s="494">
        <v>0</v>
      </c>
      <c r="G168" s="494">
        <v>0</v>
      </c>
      <c r="H168" s="494">
        <v>0</v>
      </c>
      <c r="I168" s="494">
        <v>0</v>
      </c>
      <c r="J168" s="494">
        <v>0</v>
      </c>
      <c r="K168" s="494">
        <v>0</v>
      </c>
    </row>
    <row r="169" spans="1:11" s="368" customFormat="1">
      <c r="A169" s="284" t="s">
        <v>29</v>
      </c>
      <c r="B169" s="494">
        <v>0</v>
      </c>
      <c r="C169" s="494">
        <v>0</v>
      </c>
      <c r="D169" s="494">
        <v>0</v>
      </c>
      <c r="E169" s="494">
        <v>0</v>
      </c>
      <c r="F169" s="494">
        <v>0</v>
      </c>
      <c r="G169" s="494">
        <v>0</v>
      </c>
      <c r="H169" s="494">
        <v>0</v>
      </c>
      <c r="I169" s="494">
        <v>0</v>
      </c>
      <c r="J169" s="494">
        <v>0</v>
      </c>
      <c r="K169" s="494">
        <v>0</v>
      </c>
    </row>
    <row r="170" spans="1:11">
      <c r="A170" s="284" t="s">
        <v>1304</v>
      </c>
      <c r="B170" s="494">
        <v>0.25</v>
      </c>
      <c r="C170" s="494">
        <f>B170</f>
        <v>0.25</v>
      </c>
      <c r="D170" s="494">
        <f t="shared" ref="D170:K170" si="37">C170</f>
        <v>0.25</v>
      </c>
      <c r="E170" s="494">
        <f t="shared" si="37"/>
        <v>0.25</v>
      </c>
      <c r="F170" s="494">
        <f t="shared" si="37"/>
        <v>0.25</v>
      </c>
      <c r="G170" s="494">
        <f t="shared" si="37"/>
        <v>0.25</v>
      </c>
      <c r="H170" s="494">
        <f t="shared" si="37"/>
        <v>0.25</v>
      </c>
      <c r="I170" s="494">
        <f t="shared" si="37"/>
        <v>0.25</v>
      </c>
      <c r="J170" s="494">
        <f t="shared" si="37"/>
        <v>0.25</v>
      </c>
      <c r="K170" s="494">
        <f t="shared" si="37"/>
        <v>0.25</v>
      </c>
    </row>
    <row r="171" spans="1:11">
      <c r="A171" s="284" t="s">
        <v>28</v>
      </c>
      <c r="B171" s="373">
        <v>0.5</v>
      </c>
      <c r="C171" s="373">
        <f>B171</f>
        <v>0.5</v>
      </c>
      <c r="D171" s="373">
        <f t="shared" ref="D171:K171" si="38">C171</f>
        <v>0.5</v>
      </c>
      <c r="E171" s="373">
        <f t="shared" si="38"/>
        <v>0.5</v>
      </c>
      <c r="F171" s="373">
        <f t="shared" si="38"/>
        <v>0.5</v>
      </c>
      <c r="G171" s="373">
        <f t="shared" si="38"/>
        <v>0.5</v>
      </c>
      <c r="H171" s="373">
        <f t="shared" si="38"/>
        <v>0.5</v>
      </c>
      <c r="I171" s="373">
        <f t="shared" si="38"/>
        <v>0.5</v>
      </c>
      <c r="J171" s="373">
        <f t="shared" si="38"/>
        <v>0.5</v>
      </c>
      <c r="K171" s="373">
        <f t="shared" si="38"/>
        <v>0.5</v>
      </c>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s="368" customFormat="1">
      <c r="A176" s="8"/>
      <c r="B176" s="283"/>
      <c r="C176" s="283"/>
      <c r="D176" s="8"/>
      <c r="E176" s="8"/>
      <c r="F176" s="8"/>
      <c r="G176" s="8"/>
      <c r="H176" s="8"/>
      <c r="I176" s="8"/>
      <c r="J176" s="8"/>
      <c r="K176" s="8"/>
    </row>
    <row r="177" spans="1:11" s="368" customFormat="1">
      <c r="A177" s="107" t="s">
        <v>1306</v>
      </c>
      <c r="B177" s="168" t="s">
        <v>1283</v>
      </c>
      <c r="C177" s="168" t="s">
        <v>1284</v>
      </c>
      <c r="D177" s="66" t="s">
        <v>1285</v>
      </c>
      <c r="E177" s="66" t="s">
        <v>1286</v>
      </c>
      <c r="F177" s="66" t="s">
        <v>1287</v>
      </c>
      <c r="G177" s="66" t="s">
        <v>1288</v>
      </c>
      <c r="H177" s="66" t="s">
        <v>1289</v>
      </c>
      <c r="I177" s="66" t="s">
        <v>1290</v>
      </c>
      <c r="J177" s="66" t="s">
        <v>1291</v>
      </c>
      <c r="K177" s="66" t="s">
        <v>1292</v>
      </c>
    </row>
    <row r="178" spans="1:11" s="368" customFormat="1">
      <c r="A178" s="283" t="s">
        <v>1293</v>
      </c>
      <c r="B178" s="408">
        <v>0</v>
      </c>
      <c r="C178" s="408">
        <v>0</v>
      </c>
      <c r="D178" s="408">
        <v>0</v>
      </c>
      <c r="E178" s="408">
        <v>2.14E-3</v>
      </c>
      <c r="F178" s="408">
        <v>2.0016419999999995</v>
      </c>
      <c r="G178" s="408">
        <v>1.4957819999999999</v>
      </c>
      <c r="H178" s="408">
        <v>4.8557310000000005</v>
      </c>
      <c r="I178" s="408">
        <v>4.5479820000000011</v>
      </c>
      <c r="J178" s="408">
        <v>3.4391179999999997</v>
      </c>
      <c r="K178" s="408">
        <v>2.9041289999999993</v>
      </c>
    </row>
    <row r="179" spans="1:11" s="368" customFormat="1">
      <c r="A179" s="283" t="s">
        <v>1294</v>
      </c>
      <c r="B179" s="408">
        <v>0</v>
      </c>
      <c r="C179" s="408">
        <v>0</v>
      </c>
      <c r="D179" s="408">
        <v>0</v>
      </c>
      <c r="E179" s="408">
        <v>0</v>
      </c>
      <c r="F179" s="408">
        <v>4.7484260000000003</v>
      </c>
      <c r="G179" s="408">
        <v>10.436214</v>
      </c>
      <c r="H179" s="408">
        <v>9.7793330000000047</v>
      </c>
      <c r="I179" s="408">
        <v>3.4316469999999999</v>
      </c>
      <c r="J179" s="408">
        <v>6.0887829999999967</v>
      </c>
      <c r="K179" s="408">
        <v>12.106862</v>
      </c>
    </row>
    <row r="180" spans="1:11" s="368" customFormat="1">
      <c r="A180" s="284" t="s">
        <v>26</v>
      </c>
      <c r="B180" s="408">
        <v>3.7039999999999997</v>
      </c>
      <c r="C180" s="408">
        <v>13.675000000000001</v>
      </c>
      <c r="D180" s="408">
        <v>25.101000000000003</v>
      </c>
      <c r="E180" s="408">
        <v>62.325000000000003</v>
      </c>
      <c r="F180" s="408">
        <v>133.56099999999998</v>
      </c>
      <c r="G180" s="408">
        <v>201.46300000000002</v>
      </c>
      <c r="H180" s="408">
        <v>227.57699999999997</v>
      </c>
      <c r="I180" s="408">
        <v>256.05</v>
      </c>
      <c r="J180" s="408">
        <v>281.036</v>
      </c>
      <c r="K180" s="408">
        <v>257.94899999999996</v>
      </c>
    </row>
    <row r="181" spans="1:11" s="368" customFormat="1">
      <c r="A181" s="283" t="s">
        <v>269</v>
      </c>
      <c r="B181" s="408">
        <v>0</v>
      </c>
      <c r="C181" s="408">
        <v>0</v>
      </c>
      <c r="D181" s="408">
        <v>0</v>
      </c>
      <c r="E181" s="408">
        <v>8.6439999999999989E-3</v>
      </c>
      <c r="F181" s="408">
        <v>1.730226</v>
      </c>
      <c r="G181" s="408">
        <v>6.843062999999999</v>
      </c>
      <c r="H181" s="408">
        <v>12.209292000000001</v>
      </c>
      <c r="I181" s="408">
        <v>11.795386000000001</v>
      </c>
      <c r="J181" s="408">
        <v>7.0838107568351711</v>
      </c>
      <c r="K181" s="408">
        <v>3.8571079999999998</v>
      </c>
    </row>
    <row r="182" spans="1:11" s="368" customFormat="1">
      <c r="A182" s="284" t="s">
        <v>270</v>
      </c>
      <c r="B182" s="408">
        <v>1.2000000000000002</v>
      </c>
      <c r="C182" s="408">
        <v>0.89999999999999991</v>
      </c>
      <c r="D182" s="408">
        <v>0</v>
      </c>
      <c r="E182" s="408">
        <v>0</v>
      </c>
      <c r="F182" s="408">
        <v>0</v>
      </c>
      <c r="G182" s="408">
        <v>0</v>
      </c>
      <c r="H182" s="408">
        <v>0</v>
      </c>
      <c r="I182" s="408">
        <v>0</v>
      </c>
      <c r="J182" s="408">
        <v>0</v>
      </c>
      <c r="K182" s="408">
        <v>0</v>
      </c>
    </row>
    <row r="183" spans="1:11" s="368" customFormat="1">
      <c r="A183" s="284" t="s">
        <v>974</v>
      </c>
      <c r="B183" s="408">
        <v>11.41</v>
      </c>
      <c r="C183" s="408">
        <v>22.57</v>
      </c>
      <c r="D183" s="408">
        <v>34</v>
      </c>
      <c r="E183" s="408">
        <v>48</v>
      </c>
      <c r="F183" s="408">
        <v>52.800000000000004</v>
      </c>
      <c r="G183" s="408">
        <v>33.199999999999996</v>
      </c>
      <c r="H183" s="408">
        <v>18.399999999999999</v>
      </c>
      <c r="I183" s="408">
        <v>7</v>
      </c>
      <c r="J183" s="408">
        <v>3.9080000000000004</v>
      </c>
      <c r="K183" s="408">
        <v>1.7550000000000001</v>
      </c>
    </row>
    <row r="184" spans="1:11" s="368" customFormat="1">
      <c r="A184" s="284" t="s">
        <v>263</v>
      </c>
      <c r="B184" s="408">
        <v>0</v>
      </c>
      <c r="C184" s="408">
        <v>0</v>
      </c>
      <c r="D184" s="408">
        <v>2.17</v>
      </c>
      <c r="E184" s="408">
        <v>5</v>
      </c>
      <c r="F184" s="408">
        <v>10.7</v>
      </c>
      <c r="G184" s="408">
        <v>20.100000000000001</v>
      </c>
      <c r="H184" s="408">
        <v>30</v>
      </c>
      <c r="I184" s="408">
        <v>43</v>
      </c>
      <c r="J184" s="408">
        <v>27</v>
      </c>
      <c r="K184" s="408">
        <v>18</v>
      </c>
    </row>
    <row r="185" spans="1:11" s="368" customFormat="1">
      <c r="A185" s="284" t="s">
        <v>264</v>
      </c>
      <c r="B185" s="408">
        <v>4.9000000000000004</v>
      </c>
      <c r="C185" s="408">
        <v>5.7</v>
      </c>
      <c r="D185" s="408">
        <v>5.1000000000000005</v>
      </c>
      <c r="E185" s="408">
        <v>11.86</v>
      </c>
      <c r="F185" s="408">
        <v>14.04</v>
      </c>
      <c r="G185" s="408">
        <v>12.5</v>
      </c>
      <c r="H185" s="408">
        <v>3.4000000000000004</v>
      </c>
      <c r="I185" s="408">
        <v>3.9999999999999996</v>
      </c>
      <c r="J185" s="408">
        <v>3.4</v>
      </c>
      <c r="K185" s="408">
        <v>3.4</v>
      </c>
    </row>
    <row r="186" spans="1:11" s="368" customFormat="1">
      <c r="A186" s="284" t="s">
        <v>51</v>
      </c>
      <c r="B186" s="408">
        <v>9.9</v>
      </c>
      <c r="C186" s="408">
        <v>12</v>
      </c>
      <c r="D186" s="408">
        <v>11.7</v>
      </c>
      <c r="E186" s="408">
        <v>24.6</v>
      </c>
      <c r="F186" s="408">
        <v>45.3</v>
      </c>
      <c r="G186" s="408">
        <v>30</v>
      </c>
      <c r="H186" s="408">
        <v>19.399999999999999</v>
      </c>
      <c r="I186" s="408">
        <v>19.5</v>
      </c>
      <c r="J186" s="408">
        <v>13.600000000000001</v>
      </c>
      <c r="K186" s="408">
        <v>10.4</v>
      </c>
    </row>
    <row r="187" spans="1:11" s="368" customFormat="1">
      <c r="A187" s="284" t="s">
        <v>33</v>
      </c>
      <c r="B187" s="408">
        <v>16</v>
      </c>
      <c r="C187" s="408">
        <v>29</v>
      </c>
      <c r="D187" s="408">
        <v>30</v>
      </c>
      <c r="E187" s="408">
        <v>30.700599999999998</v>
      </c>
      <c r="F187" s="408">
        <v>54.15696299999999</v>
      </c>
      <c r="G187" s="408">
        <v>60.118550999999997</v>
      </c>
      <c r="H187" s="408">
        <v>60.844525999999995</v>
      </c>
      <c r="I187" s="408">
        <v>80.592425999999989</v>
      </c>
      <c r="J187" s="408">
        <v>115.279579</v>
      </c>
      <c r="K187" s="408">
        <v>148.98248699999999</v>
      </c>
    </row>
    <row r="188" spans="1:11" s="368" customFormat="1">
      <c r="A188" s="284" t="s">
        <v>425</v>
      </c>
      <c r="B188" s="408">
        <v>9.1999999999999993</v>
      </c>
      <c r="C188" s="408">
        <v>10.6</v>
      </c>
      <c r="D188" s="408">
        <v>10.1</v>
      </c>
      <c r="E188" s="408">
        <v>12.4</v>
      </c>
      <c r="F188" s="408">
        <v>7.7</v>
      </c>
      <c r="G188" s="408">
        <v>8.1</v>
      </c>
      <c r="H188" s="408">
        <v>8.6999999999999993</v>
      </c>
      <c r="I188" s="408">
        <v>8.8000000000000007</v>
      </c>
      <c r="J188" s="408">
        <v>8</v>
      </c>
      <c r="K188" s="408">
        <v>7.2999999999999989</v>
      </c>
    </row>
    <row r="189" spans="1:11" s="368" customFormat="1">
      <c r="A189" s="284" t="s">
        <v>45</v>
      </c>
      <c r="B189" s="408">
        <v>7.1</v>
      </c>
      <c r="C189" s="408">
        <v>6</v>
      </c>
      <c r="D189" s="408">
        <v>6.6</v>
      </c>
      <c r="E189" s="408">
        <v>8.7000000000000011</v>
      </c>
      <c r="F189" s="408">
        <v>14.764104</v>
      </c>
      <c r="G189" s="408">
        <v>31.300769000000003</v>
      </c>
      <c r="H189" s="408">
        <v>53.781733000000003</v>
      </c>
      <c r="I189" s="408">
        <v>70.661805000000001</v>
      </c>
      <c r="J189" s="408">
        <v>85.240313000000015</v>
      </c>
      <c r="K189" s="408">
        <v>61.968722</v>
      </c>
    </row>
    <row r="190" spans="1:11" s="368" customFormat="1">
      <c r="A190" s="284" t="s">
        <v>927</v>
      </c>
      <c r="B190" s="408">
        <v>80.5</v>
      </c>
      <c r="C190" s="408">
        <v>100.8</v>
      </c>
      <c r="D190" s="408">
        <v>117.89999999999999</v>
      </c>
      <c r="E190" s="408">
        <v>116.7</v>
      </c>
      <c r="F190" s="408">
        <v>88.17238900000001</v>
      </c>
      <c r="G190" s="408">
        <v>56.542707999999998</v>
      </c>
      <c r="H190" s="408">
        <v>71.050178000000002</v>
      </c>
      <c r="I190" s="408">
        <v>80.709176999999997</v>
      </c>
      <c r="J190" s="408">
        <v>77.883528999999996</v>
      </c>
      <c r="K190" s="408">
        <v>71.606096000000008</v>
      </c>
    </row>
    <row r="191" spans="1:11" s="368" customFormat="1">
      <c r="A191" s="284" t="s">
        <v>56</v>
      </c>
      <c r="B191" s="408">
        <v>0</v>
      </c>
      <c r="C191" s="408">
        <v>0</v>
      </c>
      <c r="D191" s="408">
        <v>0</v>
      </c>
      <c r="E191" s="408">
        <v>0</v>
      </c>
      <c r="F191" s="408">
        <v>0</v>
      </c>
      <c r="G191" s="408">
        <v>0</v>
      </c>
      <c r="H191" s="408">
        <v>0</v>
      </c>
      <c r="I191" s="408">
        <v>0</v>
      </c>
      <c r="J191" s="408">
        <v>0</v>
      </c>
      <c r="K191" s="408">
        <v>0</v>
      </c>
    </row>
    <row r="192" spans="1:11" s="368" customFormat="1">
      <c r="A192" s="284" t="s">
        <v>54</v>
      </c>
      <c r="B192" s="408">
        <v>437.09999999999997</v>
      </c>
      <c r="C192" s="408">
        <v>468.40000000000003</v>
      </c>
      <c r="D192" s="408">
        <v>431.79999999999995</v>
      </c>
      <c r="E192" s="408">
        <v>452.99999999999994</v>
      </c>
      <c r="F192" s="408">
        <v>417.09999999999997</v>
      </c>
      <c r="G192" s="408">
        <v>336.43951900000002</v>
      </c>
      <c r="H192" s="408">
        <v>256.85342500000002</v>
      </c>
      <c r="I192" s="408">
        <v>201.72779000000003</v>
      </c>
      <c r="J192" s="408">
        <v>125.23004106599998</v>
      </c>
      <c r="K192" s="408">
        <v>52.063072999999996</v>
      </c>
    </row>
    <row r="193" spans="1:11" s="368" customFormat="1">
      <c r="A193" s="284" t="s">
        <v>1295</v>
      </c>
      <c r="B193" s="408">
        <v>3.0000000000000004</v>
      </c>
      <c r="C193" s="408">
        <v>0.2</v>
      </c>
      <c r="D193" s="408">
        <v>0</v>
      </c>
      <c r="E193" s="408">
        <v>0</v>
      </c>
      <c r="F193" s="408">
        <v>0</v>
      </c>
      <c r="G193" s="408">
        <v>0</v>
      </c>
      <c r="H193" s="408">
        <v>0</v>
      </c>
      <c r="I193" s="408">
        <v>0</v>
      </c>
      <c r="J193" s="408">
        <v>0</v>
      </c>
      <c r="K193" s="408">
        <v>0</v>
      </c>
    </row>
    <row r="194" spans="1:11" s="368" customFormat="1">
      <c r="A194" s="284" t="s">
        <v>50</v>
      </c>
      <c r="B194" s="408">
        <v>159</v>
      </c>
      <c r="C194" s="408">
        <v>100.09999999999998</v>
      </c>
      <c r="D194" s="408">
        <v>55.199999999999996</v>
      </c>
      <c r="E194" s="408">
        <v>37.200000000000003</v>
      </c>
      <c r="F194" s="408">
        <v>41.45</v>
      </c>
      <c r="G194" s="408">
        <v>29.400000000000002</v>
      </c>
      <c r="H194" s="408">
        <v>15.9</v>
      </c>
      <c r="I194" s="408">
        <v>30.300000000000004</v>
      </c>
      <c r="J194" s="408">
        <v>0</v>
      </c>
      <c r="K194" s="408">
        <v>0</v>
      </c>
    </row>
    <row r="195" spans="1:11" s="368" customFormat="1">
      <c r="A195" s="284" t="s">
        <v>265</v>
      </c>
      <c r="B195" s="408">
        <v>4.5</v>
      </c>
      <c r="C195" s="408">
        <v>5.7</v>
      </c>
      <c r="D195" s="408">
        <v>3.8999999999999995</v>
      </c>
      <c r="E195" s="408">
        <v>4.1999999999999993</v>
      </c>
      <c r="F195" s="408">
        <v>4.25</v>
      </c>
      <c r="G195" s="408">
        <v>3.3</v>
      </c>
      <c r="H195" s="408">
        <v>1.1500000000000001</v>
      </c>
      <c r="I195" s="408">
        <v>0</v>
      </c>
      <c r="J195" s="408">
        <v>0</v>
      </c>
      <c r="K195" s="408">
        <v>0</v>
      </c>
    </row>
    <row r="196" spans="1:11" s="368" customFormat="1">
      <c r="A196" s="284" t="s">
        <v>961</v>
      </c>
      <c r="B196" s="408">
        <v>0</v>
      </c>
      <c r="C196" s="408">
        <v>0</v>
      </c>
      <c r="D196" s="408">
        <v>0</v>
      </c>
      <c r="E196" s="408">
        <v>0</v>
      </c>
      <c r="F196" s="408">
        <v>0</v>
      </c>
      <c r="G196" s="408">
        <v>0</v>
      </c>
      <c r="H196" s="408">
        <v>0</v>
      </c>
      <c r="I196" s="408">
        <v>0</v>
      </c>
      <c r="J196" s="408">
        <v>42.8</v>
      </c>
      <c r="K196" s="408">
        <v>96.4</v>
      </c>
    </row>
    <row r="197" spans="1:11" s="368" customFormat="1">
      <c r="A197" s="284" t="s">
        <v>1296</v>
      </c>
      <c r="B197" s="408">
        <v>3.0220000000000002</v>
      </c>
      <c r="C197" s="408">
        <v>3.5</v>
      </c>
      <c r="D197" s="408">
        <v>2.2309999999999999</v>
      </c>
      <c r="E197" s="408">
        <v>1.4100000000000001</v>
      </c>
      <c r="F197" s="408">
        <v>0.2</v>
      </c>
      <c r="G197" s="408">
        <v>0</v>
      </c>
      <c r="H197" s="408">
        <v>0</v>
      </c>
      <c r="I197" s="408">
        <v>0</v>
      </c>
      <c r="J197" s="408">
        <v>0</v>
      </c>
      <c r="K197" s="408">
        <v>0</v>
      </c>
    </row>
    <row r="198" spans="1:11" s="368" customFormat="1">
      <c r="A198" s="284" t="s">
        <v>266</v>
      </c>
      <c r="B198" s="408">
        <v>8.8999999999999986</v>
      </c>
      <c r="C198" s="408">
        <v>7.2000000000000011</v>
      </c>
      <c r="D198" s="408">
        <v>5.8900000000000006</v>
      </c>
      <c r="E198" s="408">
        <v>4.6399999999999997</v>
      </c>
      <c r="F198" s="408">
        <v>3.0049999999999999</v>
      </c>
      <c r="G198" s="408">
        <v>2.7</v>
      </c>
      <c r="H198" s="408">
        <v>2.1999999999999997</v>
      </c>
      <c r="I198" s="408">
        <v>0.30000000000000004</v>
      </c>
      <c r="J198" s="408">
        <v>0</v>
      </c>
      <c r="K198" s="408">
        <v>0</v>
      </c>
    </row>
    <row r="199" spans="1:11" s="368" customFormat="1">
      <c r="A199" s="284" t="s">
        <v>268</v>
      </c>
      <c r="B199" s="408">
        <v>8.5</v>
      </c>
      <c r="C199" s="408">
        <v>9.8000000000000007</v>
      </c>
      <c r="D199" s="408">
        <v>9.4</v>
      </c>
      <c r="E199" s="408">
        <v>11.242000000000001</v>
      </c>
      <c r="F199" s="408">
        <v>12.512</v>
      </c>
      <c r="G199" s="408">
        <v>7.9930000000000003</v>
      </c>
      <c r="H199" s="408">
        <v>4.6740000000000004</v>
      </c>
      <c r="I199" s="408">
        <v>3.8129999999999997</v>
      </c>
      <c r="J199" s="408">
        <v>0</v>
      </c>
      <c r="K199" s="408">
        <v>0</v>
      </c>
    </row>
    <row r="200" spans="1:11" s="368" customFormat="1">
      <c r="A200" s="284" t="s">
        <v>1297</v>
      </c>
      <c r="B200" s="408">
        <v>11.736000000000001</v>
      </c>
      <c r="C200" s="408">
        <v>5.7</v>
      </c>
      <c r="D200" s="408">
        <v>1.7</v>
      </c>
      <c r="E200" s="408">
        <v>3</v>
      </c>
      <c r="F200" s="408">
        <v>0</v>
      </c>
      <c r="G200" s="408">
        <v>0</v>
      </c>
      <c r="H200" s="408">
        <v>0</v>
      </c>
      <c r="I200" s="408">
        <v>0</v>
      </c>
      <c r="J200" s="408">
        <v>0</v>
      </c>
      <c r="K200" s="408">
        <v>0</v>
      </c>
    </row>
    <row r="201" spans="1:11" s="368" customFormat="1">
      <c r="A201" s="284" t="s">
        <v>25</v>
      </c>
      <c r="B201" s="408">
        <v>161.1</v>
      </c>
      <c r="C201" s="408">
        <v>196.6</v>
      </c>
      <c r="D201" s="408">
        <v>227.1</v>
      </c>
      <c r="E201" s="408">
        <v>280.7</v>
      </c>
      <c r="F201" s="408">
        <v>333.86686000000003</v>
      </c>
      <c r="G201" s="408">
        <v>416.5</v>
      </c>
      <c r="H201" s="408">
        <v>496</v>
      </c>
      <c r="I201" s="408">
        <v>447</v>
      </c>
      <c r="J201" s="408">
        <v>423.5</v>
      </c>
      <c r="K201" s="408">
        <v>387.5</v>
      </c>
    </row>
    <row r="202" spans="1:11" s="368" customFormat="1">
      <c r="A202" s="284" t="s">
        <v>1298</v>
      </c>
      <c r="B202" s="408">
        <v>7.4</v>
      </c>
      <c r="C202" s="408">
        <v>2</v>
      </c>
      <c r="D202" s="408">
        <v>0</v>
      </c>
      <c r="E202" s="408">
        <v>0</v>
      </c>
      <c r="F202" s="408">
        <v>0</v>
      </c>
      <c r="G202" s="408">
        <v>0</v>
      </c>
      <c r="H202" s="408">
        <v>0</v>
      </c>
      <c r="I202" s="408">
        <v>0</v>
      </c>
      <c r="J202" s="408">
        <v>0</v>
      </c>
      <c r="K202" s="408">
        <v>0</v>
      </c>
    </row>
    <row r="203" spans="1:11" s="368" customFormat="1">
      <c r="A203" s="284" t="s">
        <v>1299</v>
      </c>
      <c r="B203" s="408">
        <v>16.899999999999999</v>
      </c>
      <c r="C203" s="408">
        <v>11.6</v>
      </c>
      <c r="D203" s="408">
        <v>9.8999999999999986</v>
      </c>
      <c r="E203" s="408">
        <v>10.87</v>
      </c>
      <c r="F203" s="408">
        <v>7.9900000000000011</v>
      </c>
      <c r="G203" s="408">
        <v>6.1</v>
      </c>
      <c r="H203" s="408">
        <v>6</v>
      </c>
      <c r="I203" s="408">
        <v>5.5</v>
      </c>
      <c r="J203" s="408">
        <v>4.2</v>
      </c>
      <c r="K203" s="408">
        <v>3.1</v>
      </c>
    </row>
    <row r="204" spans="1:11" s="368" customFormat="1">
      <c r="A204" s="284" t="s">
        <v>1300</v>
      </c>
      <c r="B204" s="408">
        <v>103.4</v>
      </c>
      <c r="C204" s="408">
        <v>94.95</v>
      </c>
      <c r="D204" s="408">
        <v>57.3</v>
      </c>
      <c r="E204" s="408">
        <v>43.100000000000009</v>
      </c>
      <c r="F204" s="408">
        <v>34.200000000000003</v>
      </c>
      <c r="G204" s="408">
        <v>31</v>
      </c>
      <c r="H204" s="408">
        <v>38.4</v>
      </c>
      <c r="I204" s="408">
        <v>40</v>
      </c>
      <c r="J204" s="408">
        <v>29.4</v>
      </c>
      <c r="K204" s="408">
        <v>15.1</v>
      </c>
    </row>
    <row r="205" spans="1:11" s="368" customFormat="1">
      <c r="A205" s="284" t="s">
        <v>1301</v>
      </c>
      <c r="B205" s="408">
        <v>0</v>
      </c>
      <c r="C205" s="408">
        <v>0</v>
      </c>
      <c r="D205" s="408">
        <v>0</v>
      </c>
      <c r="E205" s="408">
        <v>0</v>
      </c>
      <c r="F205" s="408">
        <v>0</v>
      </c>
      <c r="G205" s="408">
        <v>0</v>
      </c>
      <c r="H205" s="408">
        <v>0</v>
      </c>
      <c r="I205" s="408">
        <v>0</v>
      </c>
      <c r="J205" s="408">
        <v>0</v>
      </c>
      <c r="K205" s="408">
        <v>0</v>
      </c>
    </row>
    <row r="206" spans="1:11" s="368" customFormat="1">
      <c r="A206" s="284" t="s">
        <v>257</v>
      </c>
      <c r="B206" s="408">
        <v>11.9</v>
      </c>
      <c r="C206" s="408">
        <v>13.7</v>
      </c>
      <c r="D206" s="408">
        <v>16.100000000000001</v>
      </c>
      <c r="E206" s="408">
        <v>36.200000000000003</v>
      </c>
      <c r="F206" s="408">
        <v>43.595999999999997</v>
      </c>
      <c r="G206" s="408">
        <v>41.569000000000003</v>
      </c>
      <c r="H206" s="408">
        <v>52.699999999999996</v>
      </c>
      <c r="I206" s="408">
        <v>70.300000000000011</v>
      </c>
      <c r="J206" s="408">
        <v>74.900000000000006</v>
      </c>
      <c r="K206" s="408">
        <v>67.400000000000006</v>
      </c>
    </row>
    <row r="207" spans="1:11" s="368" customFormat="1">
      <c r="A207" s="284" t="s">
        <v>1302</v>
      </c>
      <c r="B207" s="408">
        <v>3.4000000000000004</v>
      </c>
      <c r="C207" s="408">
        <v>2.4</v>
      </c>
      <c r="D207" s="408">
        <v>2</v>
      </c>
      <c r="E207" s="408">
        <v>1.3</v>
      </c>
      <c r="F207" s="408">
        <v>0</v>
      </c>
      <c r="G207" s="408">
        <v>0</v>
      </c>
      <c r="H207" s="408">
        <v>0</v>
      </c>
      <c r="I207" s="408">
        <v>0</v>
      </c>
      <c r="J207" s="408">
        <v>0</v>
      </c>
      <c r="K207" s="408">
        <v>0</v>
      </c>
    </row>
    <row r="208" spans="1:11" s="368" customFormat="1">
      <c r="A208" s="284" t="s">
        <v>255</v>
      </c>
      <c r="B208" s="408">
        <v>0</v>
      </c>
      <c r="C208" s="408">
        <v>0</v>
      </c>
      <c r="D208" s="408">
        <v>0</v>
      </c>
      <c r="E208" s="408">
        <v>0</v>
      </c>
      <c r="F208" s="408">
        <v>0</v>
      </c>
      <c r="G208" s="408">
        <v>0</v>
      </c>
      <c r="H208" s="408">
        <v>0</v>
      </c>
      <c r="I208" s="408">
        <v>0</v>
      </c>
      <c r="J208" s="408">
        <v>38.5</v>
      </c>
      <c r="K208" s="408">
        <v>76.900000000000006</v>
      </c>
    </row>
    <row r="209" spans="1:11" s="368" customFormat="1">
      <c r="A209" s="284" t="s">
        <v>1303</v>
      </c>
      <c r="B209" s="408">
        <v>30.6</v>
      </c>
      <c r="C209" s="408">
        <v>50.5</v>
      </c>
      <c r="D209" s="408">
        <v>120</v>
      </c>
      <c r="E209" s="408">
        <v>142.5</v>
      </c>
      <c r="F209" s="408">
        <v>131.49417516096744</v>
      </c>
      <c r="G209" s="408">
        <v>114.05302862827928</v>
      </c>
      <c r="H209" s="408">
        <v>53.628722290213076</v>
      </c>
      <c r="I209" s="408">
        <v>81.185727921986114</v>
      </c>
      <c r="J209" s="408">
        <v>0</v>
      </c>
      <c r="K209" s="408">
        <v>0</v>
      </c>
    </row>
    <row r="210" spans="1:11" s="368" customFormat="1">
      <c r="A210" s="284" t="s">
        <v>58</v>
      </c>
      <c r="B210" s="408">
        <v>0</v>
      </c>
      <c r="C210" s="408">
        <v>0</v>
      </c>
      <c r="D210" s="408">
        <v>0</v>
      </c>
      <c r="E210" s="408">
        <v>0</v>
      </c>
      <c r="F210" s="408">
        <v>0.4</v>
      </c>
      <c r="G210" s="408">
        <v>7.2</v>
      </c>
      <c r="H210" s="408">
        <v>18.7</v>
      </c>
      <c r="I210" s="408">
        <v>61.1</v>
      </c>
      <c r="J210" s="408">
        <v>71.7</v>
      </c>
      <c r="K210" s="408">
        <v>55</v>
      </c>
    </row>
    <row r="211" spans="1:11" s="368" customFormat="1">
      <c r="A211" s="284" t="s">
        <v>29</v>
      </c>
      <c r="B211" s="408">
        <v>25</v>
      </c>
      <c r="C211" s="408">
        <v>37</v>
      </c>
      <c r="D211" s="408">
        <v>41</v>
      </c>
      <c r="E211" s="408">
        <v>61</v>
      </c>
      <c r="F211" s="408">
        <v>82.853999999999999</v>
      </c>
      <c r="G211" s="408">
        <v>70.5</v>
      </c>
      <c r="H211" s="408">
        <v>66</v>
      </c>
      <c r="I211" s="408">
        <v>76</v>
      </c>
      <c r="J211" s="408">
        <v>77.38</v>
      </c>
      <c r="K211" s="408">
        <v>65.5</v>
      </c>
    </row>
    <row r="212" spans="1:11" s="368" customFormat="1">
      <c r="A212" s="284" t="s">
        <v>1304</v>
      </c>
      <c r="B212" s="408">
        <v>44.7</v>
      </c>
      <c r="C212" s="408">
        <v>38.799999999999997</v>
      </c>
      <c r="D212" s="408">
        <v>44.8</v>
      </c>
      <c r="E212" s="408">
        <v>117.5</v>
      </c>
      <c r="F212" s="408">
        <v>187.63752858474561</v>
      </c>
      <c r="G212" s="408">
        <v>210.35116198367149</v>
      </c>
      <c r="H212" s="408">
        <v>310.56969239923308</v>
      </c>
      <c r="I212" s="408">
        <v>122.51427207801396</v>
      </c>
      <c r="J212" s="408">
        <v>153.70000000000005</v>
      </c>
      <c r="K212" s="408">
        <v>134.69999999999999</v>
      </c>
    </row>
    <row r="213" spans="1:11" s="368" customFormat="1">
      <c r="A213" s="284" t="s">
        <v>28</v>
      </c>
      <c r="B213" s="408">
        <v>8.4999999999999716</v>
      </c>
      <c r="C213" s="408">
        <v>13.449999999999909</v>
      </c>
      <c r="D213" s="408">
        <v>15.800000000000034</v>
      </c>
      <c r="E213" s="408">
        <v>24.704909000000082</v>
      </c>
      <c r="F213" s="408">
        <v>43.731773967721637</v>
      </c>
      <c r="G213" s="408">
        <v>71.316146999999845</v>
      </c>
      <c r="H213" s="408">
        <v>111.84994000000029</v>
      </c>
      <c r="I213" s="408">
        <v>194.43356399999965</v>
      </c>
      <c r="J213" s="408">
        <v>225.01047758850763</v>
      </c>
      <c r="K213" s="408">
        <v>239.75973199999967</v>
      </c>
    </row>
    <row r="214" spans="1:11" s="368" customFormat="1">
      <c r="A214" s="404" t="s">
        <v>30</v>
      </c>
      <c r="B214" s="409">
        <f t="shared" ref="B214:J214" si="39">SUM(B178:B213)</f>
        <v>1192.5720000000001</v>
      </c>
      <c r="C214" s="409">
        <f t="shared" si="39"/>
        <v>1262.845</v>
      </c>
      <c r="D214" s="409">
        <f t="shared" si="39"/>
        <v>1286.7919999999999</v>
      </c>
      <c r="E214" s="409">
        <f t="shared" si="39"/>
        <v>1552.8632929999999</v>
      </c>
      <c r="F214" s="409">
        <f t="shared" si="39"/>
        <v>1773.962087713435</v>
      </c>
      <c r="G214" s="409">
        <f t="shared" si="39"/>
        <v>1820.5219436119505</v>
      </c>
      <c r="H214" s="409">
        <f t="shared" si="39"/>
        <v>1954.6235726894463</v>
      </c>
      <c r="I214" s="409">
        <f t="shared" si="39"/>
        <v>1924.2627769999997</v>
      </c>
      <c r="J214" s="409">
        <f t="shared" si="39"/>
        <v>1898.2796514113434</v>
      </c>
      <c r="K214" s="409">
        <f>SUM(K178:K213)</f>
        <v>1793.6522089999996</v>
      </c>
    </row>
    <row r="215" spans="1:11" s="368" customFormat="1"/>
    <row r="216" spans="1:11" s="368" customFormat="1">
      <c r="A216" s="376" t="s">
        <v>1329</v>
      </c>
    </row>
    <row r="217" spans="1:11" s="368" customFormat="1"/>
    <row r="218" spans="1:11" s="368" customFormat="1"/>
    <row r="219" spans="1:11" s="368" customFormat="1"/>
    <row r="220" spans="1:11" s="368" customFormat="1"/>
  </sheetData>
  <sortState ref="A851:D1020">
    <sortCondition ref="D129:D298"/>
  </sortState>
  <mergeCells count="16">
    <mergeCell ref="A17:E17"/>
    <mergeCell ref="A13:E13"/>
    <mergeCell ref="A8:E8"/>
    <mergeCell ref="A9:E9"/>
    <mergeCell ref="A12:E12"/>
    <mergeCell ref="A14:E14"/>
    <mergeCell ref="A15:E15"/>
    <mergeCell ref="A16:E16"/>
    <mergeCell ref="A11:E11"/>
    <mergeCell ref="A79:E79"/>
    <mergeCell ref="A80:E80"/>
    <mergeCell ref="A81:E81"/>
    <mergeCell ref="A76:E76"/>
    <mergeCell ref="A73:E74"/>
    <mergeCell ref="A77:E77"/>
    <mergeCell ref="A78:E78"/>
  </mergeCells>
  <phoneticPr fontId="16" type="noConversion"/>
  <pageMargins left="0.7" right="0.7" top="0.75" bottom="0.75" header="0.3" footer="0.3"/>
  <pageSetup orientation="portrait" horizontalDpi="4294967292" verticalDpi="4294967292" r:id="rId1"/>
  <headerFooter>
    <oddHeader>&amp;LA New Dataset on Mobile Phone 
Patent License Royalties&amp;C&amp;"-,Negrita"&amp;A&amp;RAugust 2017 Update</oddHeader>
    <oddFooter>&amp;LAlexander Galetovic, Stephen Haber, _x000D_and Lew Zaretzki&amp;C&amp;P of &amp;N</oddFooter>
  </headerFooter>
  <rowBreaks count="1" manualBreakCount="1">
    <brk id="91" max="16383" man="1"/>
  </rowBreaks>
  <extLst>
    <ext xmlns:mx="http://schemas.microsoft.com/office/mac/excel/2008/main" uri="{64002731-A6B0-56B0-2670-7721B7C09600}">
      <mx:PLV Mode="1" OnePage="0" WScale="10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7"/>
  <sheetViews>
    <sheetView showGridLines="0" view="pageLayout" topLeftCell="A80" zoomScale="76" zoomScalePageLayoutView="76" workbookViewId="0">
      <selection activeCell="C83" sqref="C83"/>
    </sheetView>
  </sheetViews>
  <sheetFormatPr baseColWidth="10" defaultRowHeight="15.6"/>
  <cols>
    <col min="1" max="1" width="16.296875" customWidth="1"/>
    <col min="2" max="11" width="13.796875" customWidth="1"/>
  </cols>
  <sheetData>
    <row r="2" spans="1:5">
      <c r="A2" s="143" t="s">
        <v>525</v>
      </c>
    </row>
    <row r="3" spans="1:5" ht="18">
      <c r="A3" s="191" t="str">
        <f>CONCATENATE(VLOOKUP($A$2,'Table of Contents'!$B:$E,4,FALSE)," ",$A$2)</f>
        <v>4.4 MPEGLA AVC H.264</v>
      </c>
    </row>
    <row r="4" spans="1:5">
      <c r="A4" t="str">
        <f>VLOOKUP($A$2,'Table of Contents'!$B:$E,3,FALSE)</f>
        <v>Pool</v>
      </c>
    </row>
    <row r="5" spans="1:5">
      <c r="A5" s="54" t="str">
        <f>VLOOKUP($A$2,'Table of Contents'!$B:$E,2,FALSE)</f>
        <v>Documented</v>
      </c>
    </row>
    <row r="7" spans="1:5">
      <c r="A7" s="33" t="s">
        <v>272</v>
      </c>
    </row>
    <row r="8" spans="1:5" s="360" customFormat="1">
      <c r="A8" s="33"/>
    </row>
    <row r="9" spans="1:5">
      <c r="A9" s="9" t="s">
        <v>1500</v>
      </c>
    </row>
    <row r="10" spans="1:5" ht="190.95" customHeight="1">
      <c r="A10" s="573" t="s">
        <v>1499</v>
      </c>
      <c r="B10" s="573"/>
      <c r="C10" s="573"/>
      <c r="D10" s="573"/>
      <c r="E10" s="573"/>
    </row>
    <row r="11" spans="1:5">
      <c r="A11" s="298"/>
    </row>
    <row r="12" spans="1:5">
      <c r="A12" s="65" t="s">
        <v>308</v>
      </c>
    </row>
    <row r="13" spans="1:5" ht="67.05" customHeight="1">
      <c r="A13" s="573" t="s">
        <v>309</v>
      </c>
      <c r="B13" s="573"/>
      <c r="C13" s="573"/>
      <c r="D13" s="573"/>
      <c r="E13" s="573"/>
    </row>
    <row r="14" spans="1:5">
      <c r="A14" s="298"/>
    </row>
    <row r="15" spans="1:5" ht="228" customHeight="1">
      <c r="A15" s="573" t="s">
        <v>310</v>
      </c>
      <c r="B15" s="573"/>
      <c r="C15" s="573"/>
      <c r="D15" s="573"/>
      <c r="E15" s="573"/>
    </row>
    <row r="16" spans="1:5">
      <c r="A16" s="6"/>
    </row>
    <row r="17" spans="1:1" s="360" customFormat="1">
      <c r="A17" s="6"/>
    </row>
    <row r="18" spans="1:1">
      <c r="A18" s="107" t="s">
        <v>311</v>
      </c>
    </row>
    <row r="19" spans="1:1">
      <c r="A19" s="6" t="s">
        <v>217</v>
      </c>
    </row>
    <row r="20" spans="1:1">
      <c r="A20" s="6" t="s">
        <v>201</v>
      </c>
    </row>
    <row r="21" spans="1:1">
      <c r="A21" s="6" t="s">
        <v>273</v>
      </c>
    </row>
    <row r="22" spans="1:1">
      <c r="A22" s="6" t="s">
        <v>274</v>
      </c>
    </row>
    <row r="23" spans="1:1">
      <c r="A23" s="6" t="s">
        <v>275</v>
      </c>
    </row>
    <row r="24" spans="1:1">
      <c r="A24" s="6" t="s">
        <v>204</v>
      </c>
    </row>
    <row r="25" spans="1:1">
      <c r="A25" s="6" t="s">
        <v>276</v>
      </c>
    </row>
    <row r="26" spans="1:1">
      <c r="A26" s="6" t="s">
        <v>224</v>
      </c>
    </row>
    <row r="27" spans="1:1">
      <c r="A27" s="6" t="s">
        <v>136</v>
      </c>
    </row>
    <row r="28" spans="1:1">
      <c r="A28" s="6" t="s">
        <v>277</v>
      </c>
    </row>
    <row r="29" spans="1:1">
      <c r="A29" s="6" t="s">
        <v>278</v>
      </c>
    </row>
    <row r="30" spans="1:1">
      <c r="A30" s="6" t="s">
        <v>139</v>
      </c>
    </row>
    <row r="31" spans="1:1">
      <c r="A31" s="6" t="s">
        <v>144</v>
      </c>
    </row>
    <row r="32" spans="1:1">
      <c r="A32" s="6" t="s">
        <v>146</v>
      </c>
    </row>
    <row r="33" spans="1:1">
      <c r="A33" s="6" t="s">
        <v>102</v>
      </c>
    </row>
    <row r="34" spans="1:1">
      <c r="A34" s="6" t="s">
        <v>153</v>
      </c>
    </row>
    <row r="35" spans="1:1">
      <c r="A35" s="6" t="s">
        <v>279</v>
      </c>
    </row>
    <row r="36" spans="1:1">
      <c r="A36" s="6" t="s">
        <v>205</v>
      </c>
    </row>
    <row r="37" spans="1:1">
      <c r="A37" s="6" t="s">
        <v>206</v>
      </c>
    </row>
    <row r="38" spans="1:1">
      <c r="A38" s="6" t="s">
        <v>158</v>
      </c>
    </row>
    <row r="39" spans="1:1">
      <c r="A39" s="6" t="s">
        <v>161</v>
      </c>
    </row>
    <row r="40" spans="1:1">
      <c r="A40" s="6" t="s">
        <v>280</v>
      </c>
    </row>
    <row r="41" spans="1:1">
      <c r="A41" s="6" t="s">
        <v>207</v>
      </c>
    </row>
    <row r="42" spans="1:1">
      <c r="A42" s="6" t="s">
        <v>281</v>
      </c>
    </row>
    <row r="43" spans="1:1">
      <c r="A43" s="6" t="s">
        <v>104</v>
      </c>
    </row>
    <row r="44" spans="1:1">
      <c r="A44" s="6" t="s">
        <v>209</v>
      </c>
    </row>
    <row r="45" spans="1:1">
      <c r="A45" s="6" t="s">
        <v>282</v>
      </c>
    </row>
    <row r="46" spans="1:1">
      <c r="A46" s="6" t="s">
        <v>171</v>
      </c>
    </row>
    <row r="47" spans="1:1">
      <c r="A47" s="6" t="s">
        <v>211</v>
      </c>
    </row>
    <row r="48" spans="1:1">
      <c r="A48" s="6" t="s">
        <v>176</v>
      </c>
    </row>
    <row r="49" spans="1:5">
      <c r="A49" s="6" t="s">
        <v>178</v>
      </c>
    </row>
    <row r="50" spans="1:5">
      <c r="A50" s="6" t="s">
        <v>212</v>
      </c>
    </row>
    <row r="51" spans="1:5">
      <c r="A51" s="6" t="s">
        <v>283</v>
      </c>
    </row>
    <row r="52" spans="1:5">
      <c r="A52" s="6" t="s">
        <v>284</v>
      </c>
    </row>
    <row r="53" spans="1:5">
      <c r="A53" s="6" t="s">
        <v>285</v>
      </c>
    </row>
    <row r="54" spans="1:5">
      <c r="A54" s="6" t="s">
        <v>191</v>
      </c>
    </row>
    <row r="55" spans="1:5">
      <c r="A55" s="6" t="s">
        <v>286</v>
      </c>
    </row>
    <row r="56" spans="1:5">
      <c r="A56" s="6" t="s">
        <v>287</v>
      </c>
    </row>
    <row r="57" spans="1:5">
      <c r="A57" s="6"/>
    </row>
    <row r="58" spans="1:5" s="360" customFormat="1">
      <c r="A58" s="6"/>
    </row>
    <row r="59" spans="1:5" s="360" customFormat="1">
      <c r="A59" s="6"/>
    </row>
    <row r="60" spans="1:5" s="360" customFormat="1" ht="18">
      <c r="A60" s="375" t="s">
        <v>1326</v>
      </c>
    </row>
    <row r="61" spans="1:5" s="360" customFormat="1" ht="18">
      <c r="A61" s="375"/>
    </row>
    <row r="62" spans="1:5">
      <c r="A62" s="107" t="s">
        <v>1330</v>
      </c>
    </row>
    <row r="63" spans="1:5" ht="33" customHeight="1">
      <c r="A63" s="564" t="s">
        <v>1307</v>
      </c>
      <c r="B63" s="564"/>
      <c r="C63" s="564"/>
      <c r="D63" s="564"/>
      <c r="E63" s="564"/>
    </row>
    <row r="64" spans="1:5" ht="19.8" customHeight="1">
      <c r="A64" s="564" t="s">
        <v>1308</v>
      </c>
      <c r="B64" s="564"/>
      <c r="C64" s="564"/>
      <c r="D64" s="564"/>
      <c r="E64" s="564"/>
    </row>
    <row r="65" spans="1:11" ht="18" customHeight="1">
      <c r="A65" s="564" t="s">
        <v>1517</v>
      </c>
      <c r="B65" s="564"/>
      <c r="C65" s="564"/>
      <c r="D65" s="564"/>
      <c r="E65" s="564"/>
    </row>
    <row r="66" spans="1:11" ht="34.200000000000003" customHeight="1">
      <c r="A66" s="571" t="s">
        <v>1310</v>
      </c>
      <c r="B66" s="571"/>
      <c r="C66" s="571"/>
      <c r="D66" s="571"/>
      <c r="E66" s="571"/>
    </row>
    <row r="67" spans="1:11" ht="32.549999999999997" customHeight="1">
      <c r="A67" s="571" t="s">
        <v>1311</v>
      </c>
      <c r="B67" s="571"/>
      <c r="C67" s="571"/>
      <c r="D67" s="571"/>
      <c r="E67" s="571"/>
    </row>
    <row r="68" spans="1:11" ht="33" customHeight="1">
      <c r="A68" s="571" t="s">
        <v>1312</v>
      </c>
      <c r="B68" s="571"/>
      <c r="C68" s="571"/>
      <c r="D68" s="571"/>
      <c r="E68" s="571"/>
    </row>
    <row r="69" spans="1:11">
      <c r="A69" s="372" t="s">
        <v>1313</v>
      </c>
      <c r="C69" s="1" t="s">
        <v>7</v>
      </c>
      <c r="D69" s="5"/>
    </row>
    <row r="70" spans="1:11">
      <c r="A70" s="372" t="s">
        <v>1314</v>
      </c>
      <c r="B70" s="360"/>
      <c r="C70" s="1" t="s">
        <v>7</v>
      </c>
      <c r="D70" s="5"/>
      <c r="E70" s="360"/>
      <c r="F70" s="360"/>
    </row>
    <row r="71" spans="1:11">
      <c r="A71" s="372" t="s">
        <v>1315</v>
      </c>
    </row>
    <row r="72" spans="1:11" s="360" customFormat="1">
      <c r="A72" s="372"/>
    </row>
    <row r="73" spans="1:11" s="360" customFormat="1">
      <c r="A73" s="107" t="s">
        <v>1331</v>
      </c>
    </row>
    <row r="74" spans="1:11" s="360" customFormat="1">
      <c r="A74" s="372"/>
    </row>
    <row r="75" spans="1:11" s="360" customFormat="1">
      <c r="A75" s="372"/>
      <c r="B75" s="51" t="s">
        <v>1327</v>
      </c>
      <c r="C75" s="51" t="s">
        <v>1328</v>
      </c>
    </row>
    <row r="76" spans="1:11" s="8" customFormat="1" ht="31.2">
      <c r="A76" s="466" t="s">
        <v>1501</v>
      </c>
      <c r="B76" s="506">
        <v>0</v>
      </c>
      <c r="C76" s="507">
        <v>0.1</v>
      </c>
      <c r="D76" s="277"/>
      <c r="E76" s="508"/>
      <c r="F76" s="509"/>
      <c r="G76" s="508"/>
      <c r="H76" s="508"/>
      <c r="I76" s="508"/>
      <c r="J76" s="508"/>
      <c r="K76" s="508"/>
    </row>
    <row r="77" spans="1:11" s="8" customFormat="1" ht="31.2">
      <c r="A77" s="466" t="s">
        <v>1321</v>
      </c>
      <c r="B77" s="506">
        <v>0.2</v>
      </c>
      <c r="C77" s="510">
        <v>5</v>
      </c>
      <c r="D77" s="277"/>
      <c r="E77" s="508"/>
      <c r="F77" s="508"/>
      <c r="G77" s="508"/>
      <c r="H77" s="508"/>
      <c r="I77" s="508"/>
      <c r="J77" s="508"/>
      <c r="K77" s="508"/>
    </row>
    <row r="78" spans="1:11" s="8" customFormat="1" ht="31.2">
      <c r="A78" s="466" t="s">
        <v>1322</v>
      </c>
      <c r="B78" s="506">
        <v>0.1</v>
      </c>
      <c r="C78" s="511">
        <v>9999</v>
      </c>
      <c r="D78" s="277"/>
      <c r="E78" s="508"/>
      <c r="F78" s="508"/>
      <c r="G78" s="508"/>
      <c r="H78" s="508"/>
      <c r="I78" s="508"/>
      <c r="J78" s="508"/>
      <c r="K78" s="508"/>
    </row>
    <row r="79" spans="1:11" s="8" customFormat="1" ht="46.8">
      <c r="A79" s="466" t="s">
        <v>1318</v>
      </c>
      <c r="B79" s="506">
        <v>4.25</v>
      </c>
      <c r="C79" s="506">
        <v>4.25</v>
      </c>
      <c r="D79" s="506">
        <v>5</v>
      </c>
      <c r="E79" s="506">
        <v>5</v>
      </c>
      <c r="F79" s="506">
        <v>6.5</v>
      </c>
      <c r="G79" s="506">
        <v>6.5</v>
      </c>
      <c r="H79" s="506">
        <v>6.5</v>
      </c>
      <c r="I79" s="506">
        <v>6.5</v>
      </c>
      <c r="J79" s="506">
        <v>6.5</v>
      </c>
      <c r="K79" s="506">
        <v>8.125</v>
      </c>
    </row>
    <row r="80" spans="1:11" s="8" customFormat="1">
      <c r="A80" s="107" t="s">
        <v>1316</v>
      </c>
      <c r="B80" s="168" t="s">
        <v>1283</v>
      </c>
      <c r="C80" s="168" t="s">
        <v>1284</v>
      </c>
      <c r="D80" s="66" t="s">
        <v>1285</v>
      </c>
      <c r="E80" s="66" t="s">
        <v>1286</v>
      </c>
      <c r="F80" s="66" t="s">
        <v>1287</v>
      </c>
      <c r="G80" s="66" t="s">
        <v>1288</v>
      </c>
      <c r="H80" s="66" t="s">
        <v>1289</v>
      </c>
      <c r="I80" s="66" t="s">
        <v>1290</v>
      </c>
      <c r="J80" s="66" t="s">
        <v>1291</v>
      </c>
      <c r="K80" s="66" t="s">
        <v>1292</v>
      </c>
    </row>
    <row r="81" spans="1:11" s="8" customFormat="1">
      <c r="A81" s="283" t="s">
        <v>1293</v>
      </c>
      <c r="B81" s="403">
        <f t="shared" ref="B81:K81" si="0">B120*IF(IF(B158&gt;vLow,((B158-vLow)*rHigh)+((vLow-vTail)*rLow),B158*rLow)&gt;B$79,B$79,IF(B158&gt;vLow,((B158-vLow)*rHigh)+((vLow-vTail)*rLow),(B158*rLow)))</f>
        <v>0</v>
      </c>
      <c r="C81" s="403">
        <f t="shared" si="0"/>
        <v>0</v>
      </c>
      <c r="D81" s="403">
        <f t="shared" si="0"/>
        <v>0</v>
      </c>
      <c r="E81" s="403">
        <f t="shared" si="0"/>
        <v>0</v>
      </c>
      <c r="F81" s="403">
        <f t="shared" si="0"/>
        <v>0</v>
      </c>
      <c r="G81" s="403">
        <f t="shared" si="0"/>
        <v>0</v>
      </c>
      <c r="H81" s="403">
        <f t="shared" si="0"/>
        <v>0</v>
      </c>
      <c r="I81" s="403">
        <f t="shared" si="0"/>
        <v>0</v>
      </c>
      <c r="J81" s="403">
        <f t="shared" si="0"/>
        <v>0</v>
      </c>
      <c r="K81" s="403">
        <f t="shared" si="0"/>
        <v>0</v>
      </c>
    </row>
    <row r="82" spans="1:11" s="8" customFormat="1">
      <c r="A82" s="283" t="s">
        <v>1294</v>
      </c>
      <c r="B82" s="403">
        <f t="shared" ref="B82:K82" si="1">B121*IF(IF(B159&gt;vLow,((B159-vLow)*rHigh)+((vLow-vTail)*rLow),B159*rLow)&gt;B$79,B$79,IF(B159&gt;vLow,((B159-vLow)*rHigh)+((vLow-vTail)*rLow),(B159*rLow)))</f>
        <v>0</v>
      </c>
      <c r="C82" s="403">
        <f t="shared" si="1"/>
        <v>0</v>
      </c>
      <c r="D82" s="403">
        <f t="shared" si="1"/>
        <v>0</v>
      </c>
      <c r="E82" s="403">
        <f t="shared" si="1"/>
        <v>0</v>
      </c>
      <c r="F82" s="403">
        <f t="shared" si="1"/>
        <v>0.94968520000000012</v>
      </c>
      <c r="G82" s="403">
        <f t="shared" si="1"/>
        <v>1.5236214000000001</v>
      </c>
      <c r="H82" s="403">
        <f t="shared" si="1"/>
        <v>1.4579333000000005</v>
      </c>
      <c r="I82" s="403">
        <f t="shared" si="1"/>
        <v>0.68632939999999998</v>
      </c>
      <c r="J82" s="403">
        <f t="shared" si="1"/>
        <v>1.0888782999999997</v>
      </c>
      <c r="K82" s="403">
        <f t="shared" si="1"/>
        <v>1.6906862</v>
      </c>
    </row>
    <row r="83" spans="1:11" s="8" customFormat="1">
      <c r="A83" s="284" t="s">
        <v>26</v>
      </c>
      <c r="B83" s="403">
        <f t="shared" ref="B83:K83" si="2">B122*IF(IF(B160&gt;vLow,((B160-vLow)*rHigh)+((vLow-vTail)*rLow),B160*rLow)&gt;B$79,B$79,IF(B160&gt;vLow,((B160-vLow)*rHigh)+((vLow-vTail)*rLow),(B160*rLow)))</f>
        <v>0</v>
      </c>
      <c r="C83" s="403">
        <f t="shared" si="2"/>
        <v>1.8475000000000001</v>
      </c>
      <c r="D83" s="403">
        <f t="shared" si="2"/>
        <v>2.9901000000000004</v>
      </c>
      <c r="E83" s="403">
        <f t="shared" si="2"/>
        <v>5</v>
      </c>
      <c r="F83" s="403">
        <f t="shared" si="2"/>
        <v>6.5</v>
      </c>
      <c r="G83" s="403">
        <f t="shared" si="2"/>
        <v>6.5</v>
      </c>
      <c r="H83" s="403">
        <f t="shared" si="2"/>
        <v>6.5</v>
      </c>
      <c r="I83" s="403">
        <f t="shared" si="2"/>
        <v>6.5</v>
      </c>
      <c r="J83" s="403">
        <f t="shared" si="2"/>
        <v>6.5</v>
      </c>
      <c r="K83" s="403">
        <f t="shared" si="2"/>
        <v>8.125</v>
      </c>
    </row>
    <row r="84" spans="1:11" s="8" customFormat="1">
      <c r="A84" s="283" t="s">
        <v>269</v>
      </c>
      <c r="B84" s="403">
        <f t="shared" ref="B84:K84" si="3">B123*IF(IF(B161&gt;vLow,((B161-vLow)*rHigh)+((vLow-vTail)*rLow),B161*rLow)&gt;B$79,B$79,IF(B161&gt;vLow,((B161-vLow)*rHigh)+((vLow-vTail)*rLow),(B161*rLow)))</f>
        <v>0</v>
      </c>
      <c r="C84" s="403">
        <f t="shared" si="3"/>
        <v>0</v>
      </c>
      <c r="D84" s="403">
        <f t="shared" si="3"/>
        <v>0</v>
      </c>
      <c r="E84" s="403">
        <f t="shared" si="3"/>
        <v>0</v>
      </c>
      <c r="F84" s="403">
        <f t="shared" si="3"/>
        <v>0</v>
      </c>
      <c r="G84" s="403">
        <f t="shared" si="3"/>
        <v>0</v>
      </c>
      <c r="H84" s="403">
        <f t="shared" si="3"/>
        <v>0</v>
      </c>
      <c r="I84" s="403">
        <f t="shared" si="3"/>
        <v>0</v>
      </c>
      <c r="J84" s="403">
        <f t="shared" si="3"/>
        <v>0</v>
      </c>
      <c r="K84" s="403">
        <f t="shared" si="3"/>
        <v>0</v>
      </c>
    </row>
    <row r="85" spans="1:11" s="8" customFormat="1">
      <c r="A85" s="284" t="s">
        <v>270</v>
      </c>
      <c r="B85" s="403">
        <f t="shared" ref="B85:K85" si="4">B124*IF(IF(B162&gt;vLow,((B162-vLow)*rHigh)+((vLow-vTail)*rLow),B162*rLow)&gt;B$79,B$79,IF(B162&gt;vLow,((B162-vLow)*rHigh)+((vLow-vTail)*rLow),(B162*rLow)))</f>
        <v>0</v>
      </c>
      <c r="C85" s="403">
        <f t="shared" si="4"/>
        <v>0</v>
      </c>
      <c r="D85" s="403">
        <f t="shared" si="4"/>
        <v>0</v>
      </c>
      <c r="E85" s="403">
        <f t="shared" si="4"/>
        <v>0</v>
      </c>
      <c r="F85" s="403">
        <f t="shared" si="4"/>
        <v>0</v>
      </c>
      <c r="G85" s="403">
        <f t="shared" si="4"/>
        <v>0</v>
      </c>
      <c r="H85" s="403">
        <f t="shared" si="4"/>
        <v>0</v>
      </c>
      <c r="I85" s="403">
        <f t="shared" si="4"/>
        <v>0</v>
      </c>
      <c r="J85" s="403">
        <f t="shared" si="4"/>
        <v>0</v>
      </c>
      <c r="K85" s="403">
        <f t="shared" si="4"/>
        <v>0</v>
      </c>
    </row>
    <row r="86" spans="1:11" s="8" customFormat="1">
      <c r="A86" s="284" t="s">
        <v>974</v>
      </c>
      <c r="B86" s="403">
        <f t="shared" ref="B86:K86" si="5">B125*IF(IF(B163&gt;vLow,((B163-vLow)*rHigh)+((vLow-vTail)*rLow),B163*rLow)&gt;B$79,B$79,IF(B163&gt;vLow,((B163-vLow)*rHigh)+((vLow-vTail)*rLow),(B163*rLow)))</f>
        <v>0</v>
      </c>
      <c r="C86" s="403">
        <f t="shared" si="5"/>
        <v>0</v>
      </c>
      <c r="D86" s="403">
        <f t="shared" si="5"/>
        <v>0</v>
      </c>
      <c r="E86" s="403">
        <f t="shared" si="5"/>
        <v>0</v>
      </c>
      <c r="F86" s="403">
        <f t="shared" si="5"/>
        <v>0</v>
      </c>
      <c r="G86" s="403">
        <f t="shared" si="5"/>
        <v>0</v>
      </c>
      <c r="H86" s="403">
        <f t="shared" si="5"/>
        <v>0</v>
      </c>
      <c r="I86" s="403">
        <f t="shared" si="5"/>
        <v>1.1800000000000002</v>
      </c>
      <c r="J86" s="403">
        <f t="shared" si="5"/>
        <v>0.78160000000000007</v>
      </c>
      <c r="K86" s="403">
        <f t="shared" si="5"/>
        <v>0.35100000000000003</v>
      </c>
    </row>
    <row r="87" spans="1:11" s="8" customFormat="1">
      <c r="A87" s="284" t="s">
        <v>263</v>
      </c>
      <c r="B87" s="403">
        <f t="shared" ref="B87:K87" si="6">B126*IF(IF(B164&gt;vLow,((B164-vLow)*rHigh)+((vLow-vTail)*rLow),B164*rLow)&gt;B$79,B$79,IF(B164&gt;vLow,((B164-vLow)*rHigh)+((vLow-vTail)*rLow),(B164*rLow)))</f>
        <v>0</v>
      </c>
      <c r="C87" s="403">
        <f t="shared" si="6"/>
        <v>0</v>
      </c>
      <c r="D87" s="403">
        <f t="shared" si="6"/>
        <v>0</v>
      </c>
      <c r="E87" s="403">
        <f t="shared" si="6"/>
        <v>0</v>
      </c>
      <c r="F87" s="403">
        <f t="shared" si="6"/>
        <v>0</v>
      </c>
      <c r="G87" s="403">
        <f t="shared" si="6"/>
        <v>0</v>
      </c>
      <c r="H87" s="403">
        <f t="shared" si="6"/>
        <v>0</v>
      </c>
      <c r="I87" s="403">
        <f t="shared" si="6"/>
        <v>0</v>
      </c>
      <c r="J87" s="403">
        <f t="shared" si="6"/>
        <v>0</v>
      </c>
      <c r="K87" s="403">
        <f t="shared" si="6"/>
        <v>0</v>
      </c>
    </row>
    <row r="88" spans="1:11" s="8" customFormat="1">
      <c r="A88" s="284" t="s">
        <v>264</v>
      </c>
      <c r="B88" s="403">
        <f t="shared" ref="B88:K88" si="7">B127*IF(IF(B165&gt;vLow,((B165-vLow)*rHigh)+((vLow-vTail)*rLow),B165*rLow)&gt;B$79,B$79,IF(B165&gt;vLow,((B165-vLow)*rHigh)+((vLow-vTail)*rLow),(B165*rLow)))</f>
        <v>0.98000000000000009</v>
      </c>
      <c r="C88" s="403">
        <f t="shared" si="7"/>
        <v>1.05</v>
      </c>
      <c r="D88" s="403">
        <f t="shared" si="7"/>
        <v>0.9900000000000001</v>
      </c>
      <c r="E88" s="403">
        <f t="shared" si="7"/>
        <v>1.6659999999999999</v>
      </c>
      <c r="F88" s="403">
        <f t="shared" si="7"/>
        <v>1.8839999999999999</v>
      </c>
      <c r="G88" s="403">
        <f t="shared" si="7"/>
        <v>1.73</v>
      </c>
      <c r="H88" s="403">
        <f t="shared" si="7"/>
        <v>0.68000000000000016</v>
      </c>
      <c r="I88" s="403">
        <f t="shared" si="7"/>
        <v>0.79999999999999993</v>
      </c>
      <c r="J88" s="403">
        <f t="shared" si="7"/>
        <v>0.68</v>
      </c>
      <c r="K88" s="403">
        <f t="shared" si="7"/>
        <v>0.68</v>
      </c>
    </row>
    <row r="89" spans="1:11" s="8" customFormat="1">
      <c r="A89" s="284" t="s">
        <v>51</v>
      </c>
      <c r="B89" s="403">
        <f t="shared" ref="B89:K89" si="8">B128*IF(IF(B166&gt;vLow,((B166-vLow)*rHigh)+((vLow-vTail)*rLow),B166*rLow)&gt;B$79,B$79,IF(B166&gt;vLow,((B166-vLow)*rHigh)+((vLow-vTail)*rLow),(B166*rLow)))</f>
        <v>0</v>
      </c>
      <c r="C89" s="403">
        <f t="shared" si="8"/>
        <v>0</v>
      </c>
      <c r="D89" s="403">
        <f t="shared" si="8"/>
        <v>0</v>
      </c>
      <c r="E89" s="403">
        <f t="shared" si="8"/>
        <v>0</v>
      </c>
      <c r="F89" s="403">
        <f t="shared" si="8"/>
        <v>0</v>
      </c>
      <c r="G89" s="403">
        <f t="shared" si="8"/>
        <v>0</v>
      </c>
      <c r="H89" s="403">
        <f t="shared" si="8"/>
        <v>0</v>
      </c>
      <c r="I89" s="403">
        <f t="shared" si="8"/>
        <v>2.4300000000000002</v>
      </c>
      <c r="J89" s="403">
        <f t="shared" si="8"/>
        <v>1.8400000000000003</v>
      </c>
      <c r="K89" s="403">
        <f t="shared" si="8"/>
        <v>1.52</v>
      </c>
    </row>
    <row r="90" spans="1:11" s="8" customFormat="1">
      <c r="A90" s="284" t="s">
        <v>33</v>
      </c>
      <c r="B90" s="403">
        <f t="shared" ref="B90:K90" si="9">B129*IF(IF(B167&gt;vLow,((B167-vLow)*rHigh)+((vLow-vTail)*rLow),B167*rLow)&gt;B$79,B$79,IF(B167&gt;vLow,((B167-vLow)*rHigh)+((vLow-vTail)*rLow),(B167*rLow)))</f>
        <v>0</v>
      </c>
      <c r="C90" s="403">
        <f t="shared" si="9"/>
        <v>0</v>
      </c>
      <c r="D90" s="403">
        <f t="shared" si="9"/>
        <v>0</v>
      </c>
      <c r="E90" s="403">
        <f t="shared" si="9"/>
        <v>0</v>
      </c>
      <c r="F90" s="403">
        <f t="shared" si="9"/>
        <v>0</v>
      </c>
      <c r="G90" s="403">
        <f t="shared" si="9"/>
        <v>0</v>
      </c>
      <c r="H90" s="403">
        <f t="shared" si="9"/>
        <v>0</v>
      </c>
      <c r="I90" s="403">
        <f t="shared" si="9"/>
        <v>0</v>
      </c>
      <c r="J90" s="403">
        <f t="shared" si="9"/>
        <v>0</v>
      </c>
      <c r="K90" s="403">
        <f t="shared" si="9"/>
        <v>0</v>
      </c>
    </row>
    <row r="91" spans="1:11" s="8" customFormat="1">
      <c r="A91" s="284" t="s">
        <v>425</v>
      </c>
      <c r="B91" s="403">
        <f t="shared" ref="B91:K91" si="10">B130*IF(IF(B168&gt;vLow,((B168-vLow)*rHigh)+((vLow-vTail)*rLow),B168*rLow)&gt;B$79,B$79,IF(B168&gt;vLow,((B168-vLow)*rHigh)+((vLow-vTail)*rLow),(B168*rLow)))</f>
        <v>0</v>
      </c>
      <c r="C91" s="403">
        <f t="shared" si="10"/>
        <v>0</v>
      </c>
      <c r="D91" s="403">
        <f t="shared" si="10"/>
        <v>0</v>
      </c>
      <c r="E91" s="403">
        <f t="shared" si="10"/>
        <v>0</v>
      </c>
      <c r="F91" s="403">
        <f t="shared" si="10"/>
        <v>1.25</v>
      </c>
      <c r="G91" s="403">
        <f t="shared" si="10"/>
        <v>1.29</v>
      </c>
      <c r="H91" s="403">
        <f t="shared" si="10"/>
        <v>1.35</v>
      </c>
      <c r="I91" s="403">
        <f t="shared" si="10"/>
        <v>1.3600000000000003</v>
      </c>
      <c r="J91" s="403">
        <f t="shared" si="10"/>
        <v>1.2800000000000002</v>
      </c>
      <c r="K91" s="403">
        <f t="shared" si="10"/>
        <v>1.21</v>
      </c>
    </row>
    <row r="92" spans="1:11" s="8" customFormat="1">
      <c r="A92" s="284" t="s">
        <v>45</v>
      </c>
      <c r="B92" s="403">
        <f t="shared" ref="B92:K92" si="11">B131*IF(IF(B169&gt;vLow,((B169-vLow)*rHigh)+((vLow-vTail)*rLow),B169*rLow)&gt;B$79,B$79,IF(B169&gt;vLow,((B169-vLow)*rHigh)+((vLow-vTail)*rLow),(B169*rLow)))</f>
        <v>0</v>
      </c>
      <c r="C92" s="403">
        <f t="shared" si="11"/>
        <v>0</v>
      </c>
      <c r="D92" s="403">
        <f t="shared" si="11"/>
        <v>0</v>
      </c>
      <c r="E92" s="403">
        <f t="shared" si="11"/>
        <v>0</v>
      </c>
      <c r="F92" s="403">
        <f t="shared" si="11"/>
        <v>0</v>
      </c>
      <c r="G92" s="403">
        <f t="shared" si="11"/>
        <v>0</v>
      </c>
      <c r="H92" s="403">
        <f t="shared" si="11"/>
        <v>0</v>
      </c>
      <c r="I92" s="403">
        <f t="shared" si="11"/>
        <v>0</v>
      </c>
      <c r="J92" s="403">
        <f t="shared" si="11"/>
        <v>0</v>
      </c>
      <c r="K92" s="403">
        <f t="shared" si="11"/>
        <v>0</v>
      </c>
    </row>
    <row r="93" spans="1:11" s="8" customFormat="1">
      <c r="A93" s="284" t="s">
        <v>927</v>
      </c>
      <c r="B93" s="403">
        <f t="shared" ref="B93:K93" si="12">B132*IF(IF(B170&gt;vLow,((B170-vLow)*rHigh)+((vLow-vTail)*rLow),B170*rLow)&gt;B$79,B$79,IF(B170&gt;vLow,((B170-vLow)*rHigh)+((vLow-vTail)*rLow),(B170*rLow)))</f>
        <v>4.25</v>
      </c>
      <c r="C93" s="403">
        <f t="shared" si="12"/>
        <v>4.25</v>
      </c>
      <c r="D93" s="403">
        <f t="shared" si="12"/>
        <v>5</v>
      </c>
      <c r="E93" s="403">
        <f t="shared" si="12"/>
        <v>5</v>
      </c>
      <c r="F93" s="403">
        <f t="shared" si="12"/>
        <v>6.5</v>
      </c>
      <c r="G93" s="403">
        <f t="shared" si="12"/>
        <v>6.1342708000000004</v>
      </c>
      <c r="H93" s="403">
        <f t="shared" si="12"/>
        <v>6.5</v>
      </c>
      <c r="I93" s="403">
        <f t="shared" si="12"/>
        <v>6.5</v>
      </c>
      <c r="J93" s="403">
        <f t="shared" si="12"/>
        <v>6.5</v>
      </c>
      <c r="K93" s="403">
        <f t="shared" si="12"/>
        <v>7.6406096000000012</v>
      </c>
    </row>
    <row r="94" spans="1:11" s="8" customFormat="1">
      <c r="A94" s="284" t="s">
        <v>56</v>
      </c>
      <c r="B94" s="403">
        <f t="shared" ref="B94:K94" si="13">B133*IF(IF(B171&gt;vLow,((B171-vLow)*rHigh)+((vLow-vTail)*rLow),B171*rLow)&gt;B$79,B$79,IF(B171&gt;vLow,((B171-vLow)*rHigh)+((vLow-vTail)*rLow),(B171*rLow)))</f>
        <v>0</v>
      </c>
      <c r="C94" s="403">
        <f t="shared" si="13"/>
        <v>0</v>
      </c>
      <c r="D94" s="403">
        <f t="shared" si="13"/>
        <v>0</v>
      </c>
      <c r="E94" s="403">
        <f t="shared" si="13"/>
        <v>0</v>
      </c>
      <c r="F94" s="403">
        <f t="shared" si="13"/>
        <v>0</v>
      </c>
      <c r="G94" s="403">
        <f t="shared" si="13"/>
        <v>0</v>
      </c>
      <c r="H94" s="403">
        <f t="shared" si="13"/>
        <v>0</v>
      </c>
      <c r="I94" s="403">
        <f t="shared" si="13"/>
        <v>0</v>
      </c>
      <c r="J94" s="403">
        <f t="shared" si="13"/>
        <v>0</v>
      </c>
      <c r="K94" s="403">
        <f t="shared" si="13"/>
        <v>0</v>
      </c>
    </row>
    <row r="95" spans="1:11" s="8" customFormat="1">
      <c r="A95" s="284" t="s">
        <v>54</v>
      </c>
      <c r="B95" s="403">
        <f t="shared" ref="B95:K95" si="14">B134*IF(IF(B172&gt;vLow,((B172-vLow)*rHigh)+((vLow-vTail)*rLow),B172*rLow)&gt;B$79,B$79,IF(B172&gt;vLow,((B172-vLow)*rHigh)+((vLow-vTail)*rLow),(B172*rLow)))</f>
        <v>4.25</v>
      </c>
      <c r="C95" s="403">
        <f t="shared" si="14"/>
        <v>4.25</v>
      </c>
      <c r="D95" s="403">
        <f t="shared" si="14"/>
        <v>5</v>
      </c>
      <c r="E95" s="403">
        <f t="shared" si="14"/>
        <v>5</v>
      </c>
      <c r="F95" s="403">
        <f t="shared" si="14"/>
        <v>6.5</v>
      </c>
      <c r="G95" s="403">
        <f t="shared" si="14"/>
        <v>6.5</v>
      </c>
      <c r="H95" s="403">
        <f t="shared" si="14"/>
        <v>6.5</v>
      </c>
      <c r="I95" s="403">
        <f t="shared" si="14"/>
        <v>6.5</v>
      </c>
      <c r="J95" s="403">
        <f t="shared" si="14"/>
        <v>6.5</v>
      </c>
      <c r="K95" s="403">
        <f t="shared" si="14"/>
        <v>5.6863073000000002</v>
      </c>
    </row>
    <row r="96" spans="1:11" s="8" customFormat="1">
      <c r="A96" s="284" t="s">
        <v>1295</v>
      </c>
      <c r="B96" s="403">
        <f t="shared" ref="B96:K96" si="15">B135*IF(IF(B173&gt;vLow,((B173-vLow)*rHigh)+((vLow-vTail)*rLow),B173*rLow)&gt;B$79,B$79,IF(B173&gt;vLow,((B173-vLow)*rHigh)+((vLow-vTail)*rLow),(B173*rLow)))</f>
        <v>0.60000000000000009</v>
      </c>
      <c r="C96" s="403">
        <f t="shared" si="15"/>
        <v>4.0000000000000008E-2</v>
      </c>
      <c r="D96" s="403">
        <f t="shared" si="15"/>
        <v>0</v>
      </c>
      <c r="E96" s="403">
        <f t="shared" si="15"/>
        <v>0</v>
      </c>
      <c r="F96" s="403">
        <f t="shared" si="15"/>
        <v>0</v>
      </c>
      <c r="G96" s="403">
        <f t="shared" si="15"/>
        <v>0</v>
      </c>
      <c r="H96" s="403">
        <f t="shared" si="15"/>
        <v>0</v>
      </c>
      <c r="I96" s="403">
        <f t="shared" si="15"/>
        <v>0</v>
      </c>
      <c r="J96" s="403">
        <f t="shared" si="15"/>
        <v>0</v>
      </c>
      <c r="K96" s="403">
        <f t="shared" si="15"/>
        <v>0</v>
      </c>
    </row>
    <row r="97" spans="1:11" s="8" customFormat="1">
      <c r="A97" s="284" t="s">
        <v>50</v>
      </c>
      <c r="B97" s="403">
        <f t="shared" ref="B97:K97" si="16">B136*IF(IF(B174&gt;vLow,((B174-vLow)*rHigh)+((vLow-vTail)*rLow),B174*rLow)&gt;B$79,B$79,IF(B174&gt;vLow,((B174-vLow)*rHigh)+((vLow-vTail)*rLow),(B174*rLow)))</f>
        <v>0</v>
      </c>
      <c r="C97" s="403">
        <f t="shared" si="16"/>
        <v>0</v>
      </c>
      <c r="D97" s="403">
        <f t="shared" si="16"/>
        <v>0</v>
      </c>
      <c r="E97" s="403">
        <f t="shared" si="16"/>
        <v>0</v>
      </c>
      <c r="F97" s="403">
        <f t="shared" si="16"/>
        <v>0</v>
      </c>
      <c r="G97" s="403">
        <f t="shared" si="16"/>
        <v>0</v>
      </c>
      <c r="H97" s="403">
        <f t="shared" si="16"/>
        <v>0</v>
      </c>
      <c r="I97" s="403">
        <f t="shared" si="16"/>
        <v>0</v>
      </c>
      <c r="J97" s="403">
        <f t="shared" si="16"/>
        <v>0</v>
      </c>
      <c r="K97" s="403">
        <f t="shared" si="16"/>
        <v>0</v>
      </c>
    </row>
    <row r="98" spans="1:11" s="8" customFormat="1">
      <c r="A98" s="284" t="s">
        <v>265</v>
      </c>
      <c r="B98" s="403">
        <f t="shared" ref="B98:K98" si="17">B137*IF(IF(B175&gt;vLow,((B175-vLow)*rHigh)+((vLow-vTail)*rLow),B175*rLow)&gt;B$79,B$79,IF(B175&gt;vLow,((B175-vLow)*rHigh)+((vLow-vTail)*rLow),(B175*rLow)))</f>
        <v>0.9</v>
      </c>
      <c r="C98" s="403">
        <f t="shared" si="17"/>
        <v>1.05</v>
      </c>
      <c r="D98" s="403">
        <f t="shared" si="17"/>
        <v>0.77999999999999992</v>
      </c>
      <c r="E98" s="403">
        <f t="shared" si="17"/>
        <v>0.83999999999999986</v>
      </c>
      <c r="F98" s="403">
        <f t="shared" si="17"/>
        <v>0.85000000000000009</v>
      </c>
      <c r="G98" s="403">
        <f t="shared" si="17"/>
        <v>0.66</v>
      </c>
      <c r="H98" s="403">
        <f t="shared" si="17"/>
        <v>0.23000000000000004</v>
      </c>
      <c r="I98" s="403">
        <f t="shared" si="17"/>
        <v>0</v>
      </c>
      <c r="J98" s="403">
        <f t="shared" si="17"/>
        <v>0</v>
      </c>
      <c r="K98" s="403">
        <f t="shared" si="17"/>
        <v>0</v>
      </c>
    </row>
    <row r="99" spans="1:11" s="8" customFormat="1">
      <c r="A99" s="284" t="s">
        <v>961</v>
      </c>
      <c r="B99" s="403">
        <f t="shared" ref="B99:K99" si="18">B138*IF(IF(B176&gt;vLow,((B176-vLow)*rHigh)+((vLow-vTail)*rLow),B176*rLow)&gt;B$79,B$79,IF(B176&gt;vLow,((B176-vLow)*rHigh)+((vLow-vTail)*rLow),(B176*rLow)))</f>
        <v>0</v>
      </c>
      <c r="C99" s="403">
        <f t="shared" si="18"/>
        <v>0</v>
      </c>
      <c r="D99" s="403">
        <f t="shared" si="18"/>
        <v>0</v>
      </c>
      <c r="E99" s="403">
        <f t="shared" si="18"/>
        <v>0</v>
      </c>
      <c r="F99" s="403">
        <f t="shared" si="18"/>
        <v>0</v>
      </c>
      <c r="G99" s="403">
        <f t="shared" si="18"/>
        <v>0</v>
      </c>
      <c r="H99" s="403">
        <f t="shared" si="18"/>
        <v>0</v>
      </c>
      <c r="I99" s="403">
        <f t="shared" si="18"/>
        <v>0</v>
      </c>
      <c r="J99" s="403">
        <f t="shared" si="18"/>
        <v>0</v>
      </c>
      <c r="K99" s="403">
        <f t="shared" si="18"/>
        <v>0</v>
      </c>
    </row>
    <row r="100" spans="1:11" s="8" customFormat="1">
      <c r="A100" s="284" t="s">
        <v>1296</v>
      </c>
      <c r="B100" s="403">
        <f t="shared" ref="B100:K100" si="19">B139*IF(IF(B177&gt;vLow,((B177-vLow)*rHigh)+((vLow-vTail)*rLow),B177*rLow)&gt;B$79,B$79,IF(B177&gt;vLow,((B177-vLow)*rHigh)+((vLow-vTail)*rLow),(B177*rLow)))</f>
        <v>0</v>
      </c>
      <c r="C100" s="403">
        <f t="shared" si="19"/>
        <v>0</v>
      </c>
      <c r="D100" s="403">
        <f t="shared" si="19"/>
        <v>0</v>
      </c>
      <c r="E100" s="403">
        <f t="shared" si="19"/>
        <v>0</v>
      </c>
      <c r="F100" s="403">
        <f t="shared" si="19"/>
        <v>0</v>
      </c>
      <c r="G100" s="403">
        <f t="shared" si="19"/>
        <v>0</v>
      </c>
      <c r="H100" s="403">
        <f t="shared" si="19"/>
        <v>0</v>
      </c>
      <c r="I100" s="403">
        <f t="shared" si="19"/>
        <v>0</v>
      </c>
      <c r="J100" s="403">
        <f t="shared" si="19"/>
        <v>0</v>
      </c>
      <c r="K100" s="403">
        <f t="shared" si="19"/>
        <v>0</v>
      </c>
    </row>
    <row r="101" spans="1:11" s="8" customFormat="1">
      <c r="A101" s="284" t="s">
        <v>266</v>
      </c>
      <c r="B101" s="403">
        <f t="shared" ref="B101:K101" si="20">B140*IF(IF(B178&gt;vLow,((B178-vLow)*rHigh)+((vLow-vTail)*rLow),B178*rLow)&gt;B$79,B$79,IF(B178&gt;vLow,((B178-vLow)*rHigh)+((vLow-vTail)*rLow),(B178*rLow)))</f>
        <v>1.37</v>
      </c>
      <c r="C101" s="403">
        <f t="shared" si="20"/>
        <v>1.2000000000000002</v>
      </c>
      <c r="D101" s="403">
        <f t="shared" si="20"/>
        <v>1.0690000000000002</v>
      </c>
      <c r="E101" s="403">
        <f t="shared" si="20"/>
        <v>0.92799999999999994</v>
      </c>
      <c r="F101" s="403">
        <f t="shared" si="20"/>
        <v>0.60099999999999998</v>
      </c>
      <c r="G101" s="403">
        <f t="shared" si="20"/>
        <v>0.54</v>
      </c>
      <c r="H101" s="403">
        <f t="shared" si="20"/>
        <v>0.43999999999999995</v>
      </c>
      <c r="I101" s="403">
        <f t="shared" si="20"/>
        <v>6.0000000000000012E-2</v>
      </c>
      <c r="J101" s="403">
        <f t="shared" si="20"/>
        <v>0</v>
      </c>
      <c r="K101" s="403">
        <f t="shared" si="20"/>
        <v>0</v>
      </c>
    </row>
    <row r="102" spans="1:11" s="8" customFormat="1">
      <c r="A102" s="284" t="s">
        <v>268</v>
      </c>
      <c r="B102" s="403">
        <f t="shared" ref="B102:K102" si="21">B141*IF(IF(B179&gt;vLow,((B179-vLow)*rHigh)+((vLow-vTail)*rLow),B179*rLow)&gt;B$79,B$79,IF(B179&gt;vLow,((B179-vLow)*rHigh)+((vLow-vTail)*rLow),(B179*rLow)))</f>
        <v>1.33</v>
      </c>
      <c r="C102" s="403">
        <f t="shared" si="21"/>
        <v>1.4600000000000002</v>
      </c>
      <c r="D102" s="403">
        <f t="shared" si="21"/>
        <v>1.4200000000000002</v>
      </c>
      <c r="E102" s="403">
        <f t="shared" si="21"/>
        <v>1.6042000000000001</v>
      </c>
      <c r="F102" s="403">
        <f t="shared" si="21"/>
        <v>1.7312000000000003</v>
      </c>
      <c r="G102" s="403">
        <f t="shared" si="21"/>
        <v>1.2793000000000001</v>
      </c>
      <c r="H102" s="403">
        <f t="shared" si="21"/>
        <v>0.93480000000000008</v>
      </c>
      <c r="I102" s="403">
        <f t="shared" si="21"/>
        <v>0.76259999999999994</v>
      </c>
      <c r="J102" s="403">
        <f t="shared" si="21"/>
        <v>0</v>
      </c>
      <c r="K102" s="403">
        <f t="shared" si="21"/>
        <v>0</v>
      </c>
    </row>
    <row r="103" spans="1:11" s="8" customFormat="1">
      <c r="A103" s="284" t="s">
        <v>1297</v>
      </c>
      <c r="B103" s="403">
        <f t="shared" ref="B103:K103" si="22">B142*IF(IF(B180&gt;vLow,((B180-vLow)*rHigh)+((vLow-vTail)*rLow),B180*rLow)&gt;B$79,B$79,IF(B180&gt;vLow,((B180-vLow)*rHigh)+((vLow-vTail)*rLow),(B180*rLow)))</f>
        <v>0</v>
      </c>
      <c r="C103" s="403">
        <f t="shared" si="22"/>
        <v>1.05</v>
      </c>
      <c r="D103" s="403">
        <f t="shared" si="22"/>
        <v>0.34</v>
      </c>
      <c r="E103" s="403">
        <f t="shared" si="22"/>
        <v>0.60000000000000009</v>
      </c>
      <c r="F103" s="403">
        <f t="shared" si="22"/>
        <v>0</v>
      </c>
      <c r="G103" s="403">
        <f t="shared" si="22"/>
        <v>0</v>
      </c>
      <c r="H103" s="403">
        <f t="shared" si="22"/>
        <v>0</v>
      </c>
      <c r="I103" s="403">
        <f t="shared" si="22"/>
        <v>0</v>
      </c>
      <c r="J103" s="403">
        <f t="shared" si="22"/>
        <v>0</v>
      </c>
      <c r="K103" s="403">
        <f t="shared" si="22"/>
        <v>0</v>
      </c>
    </row>
    <row r="104" spans="1:11" s="8" customFormat="1">
      <c r="A104" s="284" t="s">
        <v>25</v>
      </c>
      <c r="B104" s="403">
        <f t="shared" ref="B104:K104" si="23">B143*IF(IF(B181&gt;vLow,((B181-vLow)*rHigh)+((vLow-vTail)*rLow),B181*rLow)&gt;B$79,B$79,IF(B181&gt;vLow,((B181-vLow)*rHigh)+((vLow-vTail)*rLow),(B181*rLow)))</f>
        <v>4.25</v>
      </c>
      <c r="C104" s="403">
        <f t="shared" si="23"/>
        <v>4.25</v>
      </c>
      <c r="D104" s="403">
        <f t="shared" si="23"/>
        <v>5</v>
      </c>
      <c r="E104" s="403">
        <f t="shared" si="23"/>
        <v>5</v>
      </c>
      <c r="F104" s="403">
        <f t="shared" si="23"/>
        <v>6.5</v>
      </c>
      <c r="G104" s="403">
        <f t="shared" si="23"/>
        <v>6.5</v>
      </c>
      <c r="H104" s="403">
        <f t="shared" si="23"/>
        <v>6.5</v>
      </c>
      <c r="I104" s="403">
        <f t="shared" si="23"/>
        <v>6.5</v>
      </c>
      <c r="J104" s="403">
        <f t="shared" si="23"/>
        <v>6.5</v>
      </c>
      <c r="K104" s="403">
        <f t="shared" si="23"/>
        <v>8.125</v>
      </c>
    </row>
    <row r="105" spans="1:11" s="8" customFormat="1">
      <c r="A105" s="284" t="s">
        <v>1298</v>
      </c>
      <c r="B105" s="403">
        <f t="shared" ref="B105:K105" si="24">B144*IF(IF(B182&gt;vLow,((B182-vLow)*rHigh)+((vLow-vTail)*rLow),B182*rLow)&gt;B$79,B$79,IF(B182&gt;vLow,((B182-vLow)*rHigh)+((vLow-vTail)*rLow),(B182*rLow)))</f>
        <v>1.2200000000000002</v>
      </c>
      <c r="C105" s="403">
        <f t="shared" si="24"/>
        <v>0.4</v>
      </c>
      <c r="D105" s="403">
        <f t="shared" si="24"/>
        <v>0</v>
      </c>
      <c r="E105" s="403">
        <f t="shared" si="24"/>
        <v>0</v>
      </c>
      <c r="F105" s="403">
        <f t="shared" si="24"/>
        <v>0</v>
      </c>
      <c r="G105" s="403">
        <f t="shared" si="24"/>
        <v>0</v>
      </c>
      <c r="H105" s="403">
        <f t="shared" si="24"/>
        <v>0</v>
      </c>
      <c r="I105" s="403">
        <f t="shared" si="24"/>
        <v>0</v>
      </c>
      <c r="J105" s="403">
        <f t="shared" si="24"/>
        <v>0</v>
      </c>
      <c r="K105" s="403">
        <f t="shared" si="24"/>
        <v>0</v>
      </c>
    </row>
    <row r="106" spans="1:11" s="8" customFormat="1">
      <c r="A106" s="284" t="s">
        <v>1299</v>
      </c>
      <c r="B106" s="403">
        <f t="shared" ref="B106:K106" si="25">B145*IF(IF(B183&gt;vLow,((B183-vLow)*rHigh)+((vLow-vTail)*rLow),B183*rLow)&gt;B$79,B$79,IF(B183&gt;vLow,((B183-vLow)*rHigh)+((vLow-vTail)*rLow),(B183*rLow)))</f>
        <v>2.17</v>
      </c>
      <c r="C106" s="403">
        <f t="shared" si="25"/>
        <v>1.6400000000000001</v>
      </c>
      <c r="D106" s="403">
        <f t="shared" si="25"/>
        <v>1.47</v>
      </c>
      <c r="E106" s="403">
        <f t="shared" si="25"/>
        <v>1.5670000000000002</v>
      </c>
      <c r="F106" s="403">
        <f t="shared" si="25"/>
        <v>1.2790000000000001</v>
      </c>
      <c r="G106" s="403">
        <f t="shared" si="25"/>
        <v>1.0900000000000001</v>
      </c>
      <c r="H106" s="403">
        <f t="shared" si="25"/>
        <v>1.08</v>
      </c>
      <c r="I106" s="403">
        <f t="shared" si="25"/>
        <v>1.03</v>
      </c>
      <c r="J106" s="403">
        <f t="shared" si="25"/>
        <v>0.84000000000000008</v>
      </c>
      <c r="K106" s="403">
        <f t="shared" si="25"/>
        <v>0.62000000000000011</v>
      </c>
    </row>
    <row r="107" spans="1:11" s="8" customFormat="1">
      <c r="A107" s="284" t="s">
        <v>1300</v>
      </c>
      <c r="B107" s="403">
        <f t="shared" ref="B107:K107" si="26">B146*IF(IF(B184&gt;vLow,((B184-vLow)*rHigh)+((vLow-vTail)*rLow),B184*rLow)&gt;B$79,B$79,IF(B184&gt;vLow,((B184-vLow)*rHigh)+((vLow-vTail)*rLow),(B184*rLow)))</f>
        <v>4.25</v>
      </c>
      <c r="C107" s="403">
        <f t="shared" si="26"/>
        <v>4.25</v>
      </c>
      <c r="D107" s="403">
        <f t="shared" si="26"/>
        <v>5</v>
      </c>
      <c r="E107" s="403">
        <f t="shared" si="26"/>
        <v>4.7900000000000009</v>
      </c>
      <c r="F107" s="403">
        <f t="shared" si="26"/>
        <v>3.9000000000000004</v>
      </c>
      <c r="G107" s="403">
        <f t="shared" si="26"/>
        <v>3.58</v>
      </c>
      <c r="H107" s="403">
        <f t="shared" si="26"/>
        <v>4.32</v>
      </c>
      <c r="I107" s="403">
        <f t="shared" si="26"/>
        <v>4.4800000000000004</v>
      </c>
      <c r="J107" s="403">
        <f t="shared" si="26"/>
        <v>3.42</v>
      </c>
      <c r="K107" s="403">
        <f t="shared" si="26"/>
        <v>1.9900000000000002</v>
      </c>
    </row>
    <row r="108" spans="1:11" s="8" customFormat="1">
      <c r="A108" s="284" t="s">
        <v>1301</v>
      </c>
      <c r="B108" s="403">
        <f t="shared" ref="B108:K108" si="27">B147*IF(IF(B185&gt;vLow,((B185-vLow)*rHigh)+((vLow-vTail)*rLow),B185*rLow)&gt;B$79,B$79,IF(B185&gt;vLow,((B185-vLow)*rHigh)+((vLow-vTail)*rLow),(B185*rLow)))</f>
        <v>0</v>
      </c>
      <c r="C108" s="403">
        <f t="shared" si="27"/>
        <v>0</v>
      </c>
      <c r="D108" s="403">
        <f t="shared" si="27"/>
        <v>0</v>
      </c>
      <c r="E108" s="403">
        <f t="shared" si="27"/>
        <v>0</v>
      </c>
      <c r="F108" s="403">
        <f t="shared" si="27"/>
        <v>0</v>
      </c>
      <c r="G108" s="403">
        <f t="shared" si="27"/>
        <v>0</v>
      </c>
      <c r="H108" s="403">
        <f t="shared" si="27"/>
        <v>0</v>
      </c>
      <c r="I108" s="403">
        <f t="shared" si="27"/>
        <v>0</v>
      </c>
      <c r="J108" s="403">
        <f t="shared" si="27"/>
        <v>0</v>
      </c>
      <c r="K108" s="403">
        <f t="shared" si="27"/>
        <v>0</v>
      </c>
    </row>
    <row r="109" spans="1:11" s="8" customFormat="1">
      <c r="A109" s="284" t="s">
        <v>257</v>
      </c>
      <c r="B109" s="403">
        <f t="shared" ref="B109:K109" si="28">B148*IF(IF(B186&gt;vLow,((B186-vLow)*rHigh)+((vLow-vTail)*rLow),B186*rLow)&gt;B$79,B$79,IF(B186&gt;vLow,((B186-vLow)*rHigh)+((vLow-vTail)*rLow),(B186*rLow)))</f>
        <v>0</v>
      </c>
      <c r="C109" s="403">
        <f t="shared" si="28"/>
        <v>0</v>
      </c>
      <c r="D109" s="403">
        <f t="shared" si="28"/>
        <v>0</v>
      </c>
      <c r="E109" s="403">
        <f t="shared" si="28"/>
        <v>0</v>
      </c>
      <c r="F109" s="403">
        <f t="shared" si="28"/>
        <v>0</v>
      </c>
      <c r="G109" s="403">
        <f t="shared" si="28"/>
        <v>0</v>
      </c>
      <c r="H109" s="403">
        <f t="shared" si="28"/>
        <v>0</v>
      </c>
      <c r="I109" s="403">
        <f t="shared" si="28"/>
        <v>0</v>
      </c>
      <c r="J109" s="403">
        <f t="shared" si="28"/>
        <v>0</v>
      </c>
      <c r="K109" s="403">
        <f t="shared" si="28"/>
        <v>0</v>
      </c>
    </row>
    <row r="110" spans="1:11" s="8" customFormat="1">
      <c r="A110" s="284" t="s">
        <v>1302</v>
      </c>
      <c r="B110" s="403">
        <f t="shared" ref="B110:K110" si="29">B149*IF(IF(B187&gt;vLow,((B187-vLow)*rHigh)+((vLow-vTail)*rLow),B187*rLow)&gt;B$79,B$79,IF(B187&gt;vLow,((B187-vLow)*rHigh)+((vLow-vTail)*rLow),(B187*rLow)))</f>
        <v>0.68000000000000016</v>
      </c>
      <c r="C110" s="403">
        <f t="shared" si="29"/>
        <v>0.48</v>
      </c>
      <c r="D110" s="403">
        <f t="shared" si="29"/>
        <v>0.4</v>
      </c>
      <c r="E110" s="403">
        <f t="shared" si="29"/>
        <v>0.26</v>
      </c>
      <c r="F110" s="403">
        <f t="shared" si="29"/>
        <v>0</v>
      </c>
      <c r="G110" s="403">
        <f t="shared" si="29"/>
        <v>0</v>
      </c>
      <c r="H110" s="403">
        <f t="shared" si="29"/>
        <v>0</v>
      </c>
      <c r="I110" s="403">
        <f t="shared" si="29"/>
        <v>0</v>
      </c>
      <c r="J110" s="403">
        <f t="shared" si="29"/>
        <v>0</v>
      </c>
      <c r="K110" s="403">
        <f t="shared" si="29"/>
        <v>0</v>
      </c>
    </row>
    <row r="111" spans="1:11" s="8" customFormat="1">
      <c r="A111" s="284" t="s">
        <v>255</v>
      </c>
      <c r="B111" s="403">
        <f t="shared" ref="B111:K111" si="30">B150*IF(IF(B188&gt;vLow,((B188-vLow)*rHigh)+((vLow-vTail)*rLow),B188*rLow)&gt;B$79,B$79,IF(B188&gt;vLow,((B188-vLow)*rHigh)+((vLow-vTail)*rLow),(B188*rLow)))</f>
        <v>0</v>
      </c>
      <c r="C111" s="403">
        <f t="shared" si="30"/>
        <v>0</v>
      </c>
      <c r="D111" s="403">
        <f t="shared" si="30"/>
        <v>0</v>
      </c>
      <c r="E111" s="403">
        <f t="shared" si="30"/>
        <v>0</v>
      </c>
      <c r="F111" s="403">
        <f t="shared" si="30"/>
        <v>0</v>
      </c>
      <c r="G111" s="403">
        <f t="shared" si="30"/>
        <v>0</v>
      </c>
      <c r="H111" s="403">
        <f t="shared" si="30"/>
        <v>0</v>
      </c>
      <c r="I111" s="403">
        <f t="shared" si="30"/>
        <v>0</v>
      </c>
      <c r="J111" s="403">
        <f t="shared" si="30"/>
        <v>0</v>
      </c>
      <c r="K111" s="403">
        <f t="shared" si="30"/>
        <v>0</v>
      </c>
    </row>
    <row r="112" spans="1:11" s="8" customFormat="1">
      <c r="A112" s="284" t="s">
        <v>1303</v>
      </c>
      <c r="B112" s="403">
        <f t="shared" ref="B112:K112" si="31">B151*IF(IF(B189&gt;vLow,((B189-vLow)*rHigh)+((vLow-vTail)*rLow),B189*rLow)&gt;B$79,B$79,IF(B189&gt;vLow,((B189-vLow)*rHigh)+((vLow-vTail)*rLow),(B189*rLow)))</f>
        <v>0</v>
      </c>
      <c r="C112" s="403">
        <f t="shared" si="31"/>
        <v>0</v>
      </c>
      <c r="D112" s="403">
        <f t="shared" si="31"/>
        <v>0</v>
      </c>
      <c r="E112" s="403">
        <f t="shared" si="31"/>
        <v>0</v>
      </c>
      <c r="F112" s="403">
        <f t="shared" si="31"/>
        <v>0</v>
      </c>
      <c r="G112" s="403">
        <f t="shared" si="31"/>
        <v>0</v>
      </c>
      <c r="H112" s="403">
        <f t="shared" si="31"/>
        <v>0</v>
      </c>
      <c r="I112" s="403">
        <f t="shared" si="31"/>
        <v>0</v>
      </c>
      <c r="J112" s="403">
        <f t="shared" si="31"/>
        <v>0</v>
      </c>
      <c r="K112" s="403">
        <f t="shared" si="31"/>
        <v>0</v>
      </c>
    </row>
    <row r="113" spans="1:11" s="8" customFormat="1">
      <c r="A113" s="284" t="s">
        <v>58</v>
      </c>
      <c r="B113" s="403">
        <f t="shared" ref="B113:K113" si="32">B152*IF(IF(B190&gt;vLow,((B190-vLow)*rHigh)+((vLow-vTail)*rLow),B190*rLow)&gt;B$79,B$79,IF(B190&gt;vLow,((B190-vLow)*rHigh)+((vLow-vTail)*rLow),(B190*rLow)))</f>
        <v>0</v>
      </c>
      <c r="C113" s="403">
        <f t="shared" si="32"/>
        <v>0</v>
      </c>
      <c r="D113" s="403">
        <f t="shared" si="32"/>
        <v>0</v>
      </c>
      <c r="E113" s="403">
        <f t="shared" si="32"/>
        <v>0</v>
      </c>
      <c r="F113" s="403">
        <f t="shared" si="32"/>
        <v>0</v>
      </c>
      <c r="G113" s="403">
        <f t="shared" si="32"/>
        <v>0</v>
      </c>
      <c r="H113" s="403">
        <f t="shared" si="32"/>
        <v>0</v>
      </c>
      <c r="I113" s="403">
        <f t="shared" si="32"/>
        <v>0</v>
      </c>
      <c r="J113" s="403">
        <f t="shared" si="32"/>
        <v>0</v>
      </c>
      <c r="K113" s="403">
        <f t="shared" si="32"/>
        <v>0</v>
      </c>
    </row>
    <row r="114" spans="1:11" s="8" customFormat="1">
      <c r="A114" s="284" t="s">
        <v>29</v>
      </c>
      <c r="B114" s="403">
        <f t="shared" ref="B114:K114" si="33">B153*IF(IF(B191&gt;vLow,((B191-vLow)*rHigh)+((vLow-vTail)*rLow),B191*rLow)&gt;B$79,B$79,IF(B191&gt;vLow,((B191-vLow)*rHigh)+((vLow-vTail)*rLow),(B191*rLow)))</f>
        <v>0</v>
      </c>
      <c r="C114" s="403">
        <f t="shared" si="33"/>
        <v>0</v>
      </c>
      <c r="D114" s="403">
        <f t="shared" si="33"/>
        <v>0</v>
      </c>
      <c r="E114" s="403">
        <f t="shared" si="33"/>
        <v>0</v>
      </c>
      <c r="F114" s="403">
        <f t="shared" si="33"/>
        <v>0</v>
      </c>
      <c r="G114" s="403">
        <f t="shared" si="33"/>
        <v>0</v>
      </c>
      <c r="H114" s="403">
        <f t="shared" si="33"/>
        <v>0</v>
      </c>
      <c r="I114" s="403">
        <f t="shared" si="33"/>
        <v>0</v>
      </c>
      <c r="J114" s="403">
        <f t="shared" si="33"/>
        <v>0</v>
      </c>
      <c r="K114" s="403">
        <f t="shared" si="33"/>
        <v>0</v>
      </c>
    </row>
    <row r="115" spans="1:11" s="8" customFormat="1">
      <c r="A115" s="284" t="s">
        <v>1304</v>
      </c>
      <c r="B115" s="403">
        <f t="shared" ref="B115:K115" si="34">B154*B192*rLow</f>
        <v>2.2350000000000003</v>
      </c>
      <c r="C115" s="403">
        <f t="shared" si="34"/>
        <v>1.94</v>
      </c>
      <c r="D115" s="403">
        <f t="shared" si="34"/>
        <v>2.2399999999999998</v>
      </c>
      <c r="E115" s="403">
        <f t="shared" si="34"/>
        <v>5.875</v>
      </c>
      <c r="F115" s="403">
        <f t="shared" si="34"/>
        <v>9.3818764292372805</v>
      </c>
      <c r="G115" s="403">
        <f t="shared" si="34"/>
        <v>10.517558099183574</v>
      </c>
      <c r="H115" s="403">
        <f t="shared" si="34"/>
        <v>15.528484619961654</v>
      </c>
      <c r="I115" s="403">
        <f t="shared" si="34"/>
        <v>6.1257136039006985</v>
      </c>
      <c r="J115" s="403">
        <f t="shared" si="34"/>
        <v>7.6850000000000023</v>
      </c>
      <c r="K115" s="403">
        <f t="shared" si="34"/>
        <v>6.7349999999999994</v>
      </c>
    </row>
    <row r="116" spans="1:11" s="8" customFormat="1">
      <c r="A116" s="284" t="s">
        <v>28</v>
      </c>
      <c r="B116" s="403">
        <f t="shared" ref="B116:K116" si="35">B155*B193*rLow</f>
        <v>0.8499999999999972</v>
      </c>
      <c r="C116" s="403">
        <f t="shared" si="35"/>
        <v>1.3449999999999909</v>
      </c>
      <c r="D116" s="403">
        <f t="shared" si="35"/>
        <v>1.5800000000000036</v>
      </c>
      <c r="E116" s="403">
        <f t="shared" si="35"/>
        <v>2.4704909000000086</v>
      </c>
      <c r="F116" s="403">
        <f t="shared" si="35"/>
        <v>4.3731773967721637</v>
      </c>
      <c r="G116" s="403">
        <f t="shared" si="35"/>
        <v>7.131614699999985</v>
      </c>
      <c r="H116" s="403">
        <f t="shared" si="35"/>
        <v>11.18499400000003</v>
      </c>
      <c r="I116" s="403">
        <f t="shared" si="35"/>
        <v>19.443356399999967</v>
      </c>
      <c r="J116" s="403">
        <f t="shared" si="35"/>
        <v>22.501047758850763</v>
      </c>
      <c r="K116" s="403">
        <f t="shared" si="35"/>
        <v>23.97597319999997</v>
      </c>
    </row>
    <row r="117" spans="1:11" s="8" customFormat="1">
      <c r="A117" s="404" t="s">
        <v>30</v>
      </c>
      <c r="B117" s="420">
        <f>SUM(B81:B116)</f>
        <v>29.334999999999997</v>
      </c>
      <c r="C117" s="420">
        <f t="shared" ref="C117:K117" si="36">SUM(C81:C116)</f>
        <v>30.502499999999994</v>
      </c>
      <c r="D117" s="420">
        <f t="shared" si="36"/>
        <v>33.2791</v>
      </c>
      <c r="E117" s="420">
        <f t="shared" si="36"/>
        <v>40.600690900000011</v>
      </c>
      <c r="F117" s="420">
        <f t="shared" si="36"/>
        <v>52.199939026009446</v>
      </c>
      <c r="G117" s="420">
        <f t="shared" si="36"/>
        <v>54.976364999183559</v>
      </c>
      <c r="H117" s="420">
        <f t="shared" si="36"/>
        <v>63.206211919961689</v>
      </c>
      <c r="I117" s="420">
        <f t="shared" si="36"/>
        <v>64.357999403900664</v>
      </c>
      <c r="J117" s="420">
        <f t="shared" si="36"/>
        <v>66.116526058850766</v>
      </c>
      <c r="K117" s="420">
        <f t="shared" si="36"/>
        <v>68.349576299999967</v>
      </c>
    </row>
    <row r="118" spans="1:11" s="8" customFormat="1">
      <c r="A118" s="9" t="s">
        <v>1305</v>
      </c>
    </row>
    <row r="119" spans="1:11" s="368" customFormat="1">
      <c r="A119" s="162" t="s">
        <v>1282</v>
      </c>
      <c r="B119" s="168" t="s">
        <v>1283</v>
      </c>
      <c r="C119" s="168" t="s">
        <v>1284</v>
      </c>
      <c r="D119" s="66" t="s">
        <v>1285</v>
      </c>
      <c r="E119" s="66" t="s">
        <v>1286</v>
      </c>
      <c r="F119" s="66" t="s">
        <v>1287</v>
      </c>
      <c r="G119" s="66" t="s">
        <v>1288</v>
      </c>
      <c r="H119" s="66" t="s">
        <v>1289</v>
      </c>
      <c r="I119" s="66" t="s">
        <v>1290</v>
      </c>
      <c r="J119" s="66" t="s">
        <v>1291</v>
      </c>
      <c r="K119" s="66" t="s">
        <v>1292</v>
      </c>
    </row>
    <row r="120" spans="1:11" s="368" customFormat="1">
      <c r="A120" s="283" t="s">
        <v>1293</v>
      </c>
      <c r="B120" s="494">
        <v>0</v>
      </c>
      <c r="C120" s="494">
        <v>0</v>
      </c>
      <c r="D120" s="494">
        <v>0</v>
      </c>
      <c r="E120" s="494">
        <v>0</v>
      </c>
      <c r="F120" s="494">
        <v>0</v>
      </c>
      <c r="G120" s="494">
        <v>0</v>
      </c>
      <c r="H120" s="494">
        <v>0</v>
      </c>
      <c r="I120" s="494">
        <v>0</v>
      </c>
      <c r="J120" s="494">
        <v>0</v>
      </c>
      <c r="K120" s="494">
        <v>0</v>
      </c>
    </row>
    <row r="121" spans="1:11" s="368" customFormat="1">
      <c r="A121" s="283" t="s">
        <v>1294</v>
      </c>
      <c r="B121" s="406">
        <v>0</v>
      </c>
      <c r="C121" s="406">
        <v>0</v>
      </c>
      <c r="D121" s="494">
        <v>0</v>
      </c>
      <c r="E121" s="494">
        <v>1</v>
      </c>
      <c r="F121" s="494">
        <v>1</v>
      </c>
      <c r="G121" s="494">
        <v>1</v>
      </c>
      <c r="H121" s="494">
        <v>1</v>
      </c>
      <c r="I121" s="494">
        <v>1</v>
      </c>
      <c r="J121" s="494">
        <v>1</v>
      </c>
      <c r="K121" s="494">
        <v>1</v>
      </c>
    </row>
    <row r="122" spans="1:11" s="368" customFormat="1">
      <c r="A122" s="284" t="s">
        <v>26</v>
      </c>
      <c r="B122" s="406">
        <v>0</v>
      </c>
      <c r="C122" s="406">
        <v>1</v>
      </c>
      <c r="D122" s="494">
        <v>1</v>
      </c>
      <c r="E122" s="494">
        <v>1</v>
      </c>
      <c r="F122" s="494">
        <v>1</v>
      </c>
      <c r="G122" s="494">
        <v>1</v>
      </c>
      <c r="H122" s="494">
        <v>1</v>
      </c>
      <c r="I122" s="494">
        <v>1</v>
      </c>
      <c r="J122" s="494">
        <v>1</v>
      </c>
      <c r="K122" s="494">
        <v>1</v>
      </c>
    </row>
    <row r="123" spans="1:11" s="368" customFormat="1">
      <c r="A123" s="283" t="s">
        <v>269</v>
      </c>
      <c r="B123" s="406">
        <v>0</v>
      </c>
      <c r="C123" s="406">
        <v>0</v>
      </c>
      <c r="D123" s="494">
        <v>0</v>
      </c>
      <c r="E123" s="494">
        <v>0</v>
      </c>
      <c r="F123" s="494">
        <v>0</v>
      </c>
      <c r="G123" s="494">
        <v>0</v>
      </c>
      <c r="H123" s="494">
        <v>0</v>
      </c>
      <c r="I123" s="494">
        <v>0</v>
      </c>
      <c r="J123" s="494">
        <v>0</v>
      </c>
      <c r="K123" s="494">
        <v>0</v>
      </c>
    </row>
    <row r="124" spans="1:11" s="368" customFormat="1">
      <c r="A124" s="284" t="s">
        <v>270</v>
      </c>
      <c r="B124" s="406">
        <v>0</v>
      </c>
      <c r="C124" s="406">
        <v>0</v>
      </c>
      <c r="D124" s="494">
        <v>0</v>
      </c>
      <c r="E124" s="494">
        <v>0</v>
      </c>
      <c r="F124" s="494">
        <v>0</v>
      </c>
      <c r="G124" s="494">
        <v>0</v>
      </c>
      <c r="H124" s="494">
        <v>0</v>
      </c>
      <c r="I124" s="494">
        <v>0</v>
      </c>
      <c r="J124" s="494">
        <v>0</v>
      </c>
      <c r="K124" s="494">
        <v>0</v>
      </c>
    </row>
    <row r="125" spans="1:11" s="368" customFormat="1">
      <c r="A125" s="284" t="s">
        <v>974</v>
      </c>
      <c r="B125" s="406">
        <v>0</v>
      </c>
      <c r="C125" s="406">
        <v>0</v>
      </c>
      <c r="D125" s="494">
        <v>0</v>
      </c>
      <c r="E125" s="494">
        <v>0</v>
      </c>
      <c r="F125" s="494">
        <v>0</v>
      </c>
      <c r="G125" s="494">
        <v>0</v>
      </c>
      <c r="H125" s="494">
        <v>0</v>
      </c>
      <c r="I125" s="494">
        <v>1</v>
      </c>
      <c r="J125" s="494">
        <v>1</v>
      </c>
      <c r="K125" s="494">
        <v>1</v>
      </c>
    </row>
    <row r="126" spans="1:11" s="368" customFormat="1">
      <c r="A126" s="284" t="s">
        <v>263</v>
      </c>
      <c r="B126" s="406">
        <v>0</v>
      </c>
      <c r="C126" s="406">
        <v>0</v>
      </c>
      <c r="D126" s="494">
        <v>0</v>
      </c>
      <c r="E126" s="494">
        <v>0</v>
      </c>
      <c r="F126" s="494">
        <v>0</v>
      </c>
      <c r="G126" s="494">
        <v>0</v>
      </c>
      <c r="H126" s="494">
        <v>0</v>
      </c>
      <c r="I126" s="494">
        <v>0</v>
      </c>
      <c r="J126" s="494">
        <v>0</v>
      </c>
      <c r="K126" s="494">
        <v>0</v>
      </c>
    </row>
    <row r="127" spans="1:11" s="368" customFormat="1">
      <c r="A127" s="284" t="s">
        <v>264</v>
      </c>
      <c r="B127" s="406">
        <v>1</v>
      </c>
      <c r="C127" s="406">
        <v>1</v>
      </c>
      <c r="D127" s="494">
        <v>1</v>
      </c>
      <c r="E127" s="494">
        <v>1</v>
      </c>
      <c r="F127" s="494">
        <v>1</v>
      </c>
      <c r="G127" s="494">
        <v>1</v>
      </c>
      <c r="H127" s="494">
        <v>1</v>
      </c>
      <c r="I127" s="494">
        <v>1</v>
      </c>
      <c r="J127" s="494">
        <v>1</v>
      </c>
      <c r="K127" s="494">
        <v>1</v>
      </c>
    </row>
    <row r="128" spans="1:11" s="368" customFormat="1">
      <c r="A128" s="284" t="s">
        <v>51</v>
      </c>
      <c r="B128" s="406">
        <v>0</v>
      </c>
      <c r="C128" s="406">
        <v>0</v>
      </c>
      <c r="D128" s="494">
        <v>0</v>
      </c>
      <c r="E128" s="494">
        <v>0</v>
      </c>
      <c r="F128" s="494">
        <v>0</v>
      </c>
      <c r="G128" s="494">
        <v>0</v>
      </c>
      <c r="H128" s="494">
        <v>0</v>
      </c>
      <c r="I128" s="494">
        <v>1</v>
      </c>
      <c r="J128" s="494">
        <v>1</v>
      </c>
      <c r="K128" s="494">
        <v>1</v>
      </c>
    </row>
    <row r="129" spans="1:11" s="368" customFormat="1">
      <c r="A129" s="284" t="s">
        <v>33</v>
      </c>
      <c r="B129" s="406">
        <v>0</v>
      </c>
      <c r="C129" s="406">
        <v>0</v>
      </c>
      <c r="D129" s="494">
        <v>0</v>
      </c>
      <c r="E129" s="494">
        <v>0</v>
      </c>
      <c r="F129" s="494">
        <v>0</v>
      </c>
      <c r="G129" s="494">
        <v>0</v>
      </c>
      <c r="H129" s="494">
        <v>0</v>
      </c>
      <c r="I129" s="494">
        <v>0</v>
      </c>
      <c r="J129" s="494">
        <v>0</v>
      </c>
      <c r="K129" s="494">
        <v>0</v>
      </c>
    </row>
    <row r="130" spans="1:11" s="368" customFormat="1">
      <c r="A130" s="284" t="s">
        <v>425</v>
      </c>
      <c r="B130" s="406">
        <v>0</v>
      </c>
      <c r="C130" s="406">
        <v>0</v>
      </c>
      <c r="D130" s="494">
        <v>0</v>
      </c>
      <c r="E130" s="494">
        <v>0</v>
      </c>
      <c r="F130" s="494">
        <v>1</v>
      </c>
      <c r="G130" s="494">
        <v>1</v>
      </c>
      <c r="H130" s="494">
        <v>1</v>
      </c>
      <c r="I130" s="494">
        <v>1</v>
      </c>
      <c r="J130" s="494">
        <v>1</v>
      </c>
      <c r="K130" s="494">
        <v>1</v>
      </c>
    </row>
    <row r="131" spans="1:11" s="368" customFormat="1">
      <c r="A131" s="284" t="s">
        <v>45</v>
      </c>
      <c r="B131" s="406">
        <v>0</v>
      </c>
      <c r="C131" s="406">
        <v>0</v>
      </c>
      <c r="D131" s="494">
        <v>0</v>
      </c>
      <c r="E131" s="494">
        <v>0</v>
      </c>
      <c r="F131" s="494">
        <v>0</v>
      </c>
      <c r="G131" s="494">
        <v>0</v>
      </c>
      <c r="H131" s="494">
        <v>0</v>
      </c>
      <c r="I131" s="494">
        <v>0</v>
      </c>
      <c r="J131" s="494">
        <v>0</v>
      </c>
      <c r="K131" s="494">
        <v>0</v>
      </c>
    </row>
    <row r="132" spans="1:11" s="368" customFormat="1">
      <c r="A132" s="284" t="s">
        <v>927</v>
      </c>
      <c r="B132" s="406">
        <v>1</v>
      </c>
      <c r="C132" s="406">
        <v>1</v>
      </c>
      <c r="D132" s="494">
        <v>1</v>
      </c>
      <c r="E132" s="494">
        <v>1</v>
      </c>
      <c r="F132" s="494">
        <v>1</v>
      </c>
      <c r="G132" s="494">
        <v>1</v>
      </c>
      <c r="H132" s="494">
        <v>1</v>
      </c>
      <c r="I132" s="494">
        <v>1</v>
      </c>
      <c r="J132" s="494">
        <v>1</v>
      </c>
      <c r="K132" s="494">
        <v>1</v>
      </c>
    </row>
    <row r="133" spans="1:11" s="368" customFormat="1">
      <c r="A133" s="284" t="s">
        <v>56</v>
      </c>
      <c r="B133" s="406">
        <v>0</v>
      </c>
      <c r="C133" s="406">
        <v>0</v>
      </c>
      <c r="D133" s="494">
        <v>0</v>
      </c>
      <c r="E133" s="494">
        <v>0</v>
      </c>
      <c r="F133" s="494">
        <v>0</v>
      </c>
      <c r="G133" s="494">
        <v>0</v>
      </c>
      <c r="H133" s="494">
        <v>0</v>
      </c>
      <c r="I133" s="494">
        <v>0</v>
      </c>
      <c r="J133" s="494">
        <v>0</v>
      </c>
      <c r="K133" s="494">
        <v>0</v>
      </c>
    </row>
    <row r="134" spans="1:11" s="368" customFormat="1">
      <c r="A134" s="284" t="s">
        <v>54</v>
      </c>
      <c r="B134" s="406">
        <v>1</v>
      </c>
      <c r="C134" s="406">
        <v>1</v>
      </c>
      <c r="D134" s="494">
        <v>1</v>
      </c>
      <c r="E134" s="494">
        <v>1</v>
      </c>
      <c r="F134" s="494">
        <v>1</v>
      </c>
      <c r="G134" s="494">
        <v>1</v>
      </c>
      <c r="H134" s="494">
        <v>1</v>
      </c>
      <c r="I134" s="494">
        <v>1</v>
      </c>
      <c r="J134" s="494">
        <v>1</v>
      </c>
      <c r="K134" s="494">
        <v>1</v>
      </c>
    </row>
    <row r="135" spans="1:11" s="368" customFormat="1">
      <c r="A135" s="284" t="s">
        <v>1295</v>
      </c>
      <c r="B135" s="406">
        <v>1</v>
      </c>
      <c r="C135" s="406">
        <v>1</v>
      </c>
      <c r="D135" s="494">
        <v>1</v>
      </c>
      <c r="E135" s="494">
        <v>1</v>
      </c>
      <c r="F135" s="494">
        <v>1</v>
      </c>
      <c r="G135" s="494">
        <v>1</v>
      </c>
      <c r="H135" s="494">
        <v>1</v>
      </c>
      <c r="I135" s="494">
        <v>1</v>
      </c>
      <c r="J135" s="494">
        <v>1</v>
      </c>
      <c r="K135" s="494">
        <v>1</v>
      </c>
    </row>
    <row r="136" spans="1:11" s="368" customFormat="1">
      <c r="A136" s="284" t="s">
        <v>50</v>
      </c>
      <c r="B136" s="406">
        <v>0</v>
      </c>
      <c r="C136" s="406">
        <v>0</v>
      </c>
      <c r="D136" s="494">
        <v>0</v>
      </c>
      <c r="E136" s="494">
        <v>0</v>
      </c>
      <c r="F136" s="494">
        <v>0</v>
      </c>
      <c r="G136" s="494">
        <v>0</v>
      </c>
      <c r="H136" s="494">
        <v>0</v>
      </c>
      <c r="I136" s="494">
        <v>0</v>
      </c>
      <c r="J136" s="494">
        <v>0</v>
      </c>
      <c r="K136" s="494">
        <v>0</v>
      </c>
    </row>
    <row r="137" spans="1:11" s="368" customFormat="1">
      <c r="A137" s="284" t="s">
        <v>265</v>
      </c>
      <c r="B137" s="406">
        <v>1</v>
      </c>
      <c r="C137" s="406">
        <v>1</v>
      </c>
      <c r="D137" s="494">
        <v>1</v>
      </c>
      <c r="E137" s="494">
        <v>1</v>
      </c>
      <c r="F137" s="494">
        <v>1</v>
      </c>
      <c r="G137" s="494">
        <v>1</v>
      </c>
      <c r="H137" s="494">
        <v>1</v>
      </c>
      <c r="I137" s="494">
        <v>1</v>
      </c>
      <c r="J137" s="494">
        <v>1</v>
      </c>
      <c r="K137" s="494">
        <v>1</v>
      </c>
    </row>
    <row r="138" spans="1:11" s="368" customFormat="1">
      <c r="A138" s="284" t="s">
        <v>961</v>
      </c>
      <c r="B138" s="494">
        <v>0</v>
      </c>
      <c r="C138" s="494">
        <v>0</v>
      </c>
      <c r="D138" s="494">
        <v>0</v>
      </c>
      <c r="E138" s="494">
        <v>0</v>
      </c>
      <c r="F138" s="494">
        <v>0</v>
      </c>
      <c r="G138" s="494">
        <v>0</v>
      </c>
      <c r="H138" s="494">
        <v>0</v>
      </c>
      <c r="I138" s="494">
        <v>0</v>
      </c>
      <c r="J138" s="494">
        <v>0</v>
      </c>
      <c r="K138" s="494">
        <v>0</v>
      </c>
    </row>
    <row r="139" spans="1:11" s="368" customFormat="1">
      <c r="A139" s="284" t="s">
        <v>1296</v>
      </c>
      <c r="B139" s="494">
        <v>0</v>
      </c>
      <c r="C139" s="494">
        <v>0</v>
      </c>
      <c r="D139" s="494">
        <v>0</v>
      </c>
      <c r="E139" s="494">
        <v>0</v>
      </c>
      <c r="F139" s="494">
        <v>0</v>
      </c>
      <c r="G139" s="494">
        <v>0</v>
      </c>
      <c r="H139" s="494">
        <v>0</v>
      </c>
      <c r="I139" s="494">
        <v>0</v>
      </c>
      <c r="J139" s="494">
        <v>0</v>
      </c>
      <c r="K139" s="494">
        <v>0</v>
      </c>
    </row>
    <row r="140" spans="1:11" s="368" customFormat="1">
      <c r="A140" s="284" t="s">
        <v>266</v>
      </c>
      <c r="B140" s="494">
        <v>1</v>
      </c>
      <c r="C140" s="494">
        <v>1</v>
      </c>
      <c r="D140" s="494">
        <v>1</v>
      </c>
      <c r="E140" s="494">
        <v>1</v>
      </c>
      <c r="F140" s="494">
        <v>1</v>
      </c>
      <c r="G140" s="494">
        <v>1</v>
      </c>
      <c r="H140" s="494">
        <v>1</v>
      </c>
      <c r="I140" s="494">
        <v>1</v>
      </c>
      <c r="J140" s="494">
        <v>1</v>
      </c>
      <c r="K140" s="494">
        <v>1</v>
      </c>
    </row>
    <row r="141" spans="1:11" s="368" customFormat="1">
      <c r="A141" s="284" t="s">
        <v>268</v>
      </c>
      <c r="B141" s="494">
        <v>1</v>
      </c>
      <c r="C141" s="494">
        <v>1</v>
      </c>
      <c r="D141" s="494">
        <v>1</v>
      </c>
      <c r="E141" s="494">
        <v>1</v>
      </c>
      <c r="F141" s="494">
        <v>1</v>
      </c>
      <c r="G141" s="494">
        <v>1</v>
      </c>
      <c r="H141" s="494">
        <v>1</v>
      </c>
      <c r="I141" s="494">
        <v>1</v>
      </c>
      <c r="J141" s="494">
        <v>1</v>
      </c>
      <c r="K141" s="494">
        <v>1</v>
      </c>
    </row>
    <row r="142" spans="1:11" s="368" customFormat="1">
      <c r="A142" s="284" t="s">
        <v>1297</v>
      </c>
      <c r="B142" s="494">
        <v>0</v>
      </c>
      <c r="C142" s="494">
        <v>1</v>
      </c>
      <c r="D142" s="494">
        <v>1</v>
      </c>
      <c r="E142" s="494">
        <v>1</v>
      </c>
      <c r="F142" s="494">
        <v>1</v>
      </c>
      <c r="G142" s="494">
        <v>1</v>
      </c>
      <c r="H142" s="494">
        <v>1</v>
      </c>
      <c r="I142" s="494">
        <v>1</v>
      </c>
      <c r="J142" s="494">
        <v>1</v>
      </c>
      <c r="K142" s="494">
        <v>1</v>
      </c>
    </row>
    <row r="143" spans="1:11" s="368" customFormat="1">
      <c r="A143" s="284" t="s">
        <v>25</v>
      </c>
      <c r="B143" s="494">
        <v>1</v>
      </c>
      <c r="C143" s="494">
        <v>1</v>
      </c>
      <c r="D143" s="494">
        <v>1</v>
      </c>
      <c r="E143" s="494">
        <v>1</v>
      </c>
      <c r="F143" s="494">
        <v>1</v>
      </c>
      <c r="G143" s="494">
        <v>1</v>
      </c>
      <c r="H143" s="494">
        <v>1</v>
      </c>
      <c r="I143" s="494">
        <v>1</v>
      </c>
      <c r="J143" s="494">
        <v>1</v>
      </c>
      <c r="K143" s="494">
        <v>1</v>
      </c>
    </row>
    <row r="144" spans="1:11" s="368" customFormat="1">
      <c r="A144" s="284" t="s">
        <v>1298</v>
      </c>
      <c r="B144" s="494">
        <v>1</v>
      </c>
      <c r="C144" s="494">
        <v>1</v>
      </c>
      <c r="D144" s="494">
        <v>1</v>
      </c>
      <c r="E144" s="494">
        <v>1</v>
      </c>
      <c r="F144" s="494">
        <v>1</v>
      </c>
      <c r="G144" s="494">
        <v>1</v>
      </c>
      <c r="H144" s="494">
        <v>1</v>
      </c>
      <c r="I144" s="494">
        <v>1</v>
      </c>
      <c r="J144" s="494">
        <v>1</v>
      </c>
      <c r="K144" s="494">
        <v>1</v>
      </c>
    </row>
    <row r="145" spans="1:11" s="368" customFormat="1">
      <c r="A145" s="284" t="s">
        <v>1299</v>
      </c>
      <c r="B145" s="494">
        <v>1</v>
      </c>
      <c r="C145" s="494">
        <v>1</v>
      </c>
      <c r="D145" s="494">
        <v>1</v>
      </c>
      <c r="E145" s="494">
        <v>1</v>
      </c>
      <c r="F145" s="494">
        <v>1</v>
      </c>
      <c r="G145" s="494">
        <v>1</v>
      </c>
      <c r="H145" s="494">
        <v>1</v>
      </c>
      <c r="I145" s="494">
        <v>1</v>
      </c>
      <c r="J145" s="494">
        <v>1</v>
      </c>
      <c r="K145" s="494">
        <v>1</v>
      </c>
    </row>
    <row r="146" spans="1:11" s="368" customFormat="1">
      <c r="A146" s="284" t="s">
        <v>1300</v>
      </c>
      <c r="B146" s="494">
        <v>1</v>
      </c>
      <c r="C146" s="494">
        <v>1</v>
      </c>
      <c r="D146" s="494">
        <v>1</v>
      </c>
      <c r="E146" s="494">
        <v>1</v>
      </c>
      <c r="F146" s="494">
        <v>1</v>
      </c>
      <c r="G146" s="494">
        <v>1</v>
      </c>
      <c r="H146" s="494">
        <v>1</v>
      </c>
      <c r="I146" s="494">
        <v>1</v>
      </c>
      <c r="J146" s="494">
        <v>1</v>
      </c>
      <c r="K146" s="494">
        <v>1</v>
      </c>
    </row>
    <row r="147" spans="1:11" s="368" customFormat="1">
      <c r="A147" s="284" t="s">
        <v>1301</v>
      </c>
      <c r="B147" s="494">
        <v>0</v>
      </c>
      <c r="C147" s="494">
        <v>0</v>
      </c>
      <c r="D147" s="494">
        <v>0</v>
      </c>
      <c r="E147" s="494">
        <v>0</v>
      </c>
      <c r="F147" s="494">
        <v>0</v>
      </c>
      <c r="G147" s="494">
        <v>0</v>
      </c>
      <c r="H147" s="494">
        <v>0</v>
      </c>
      <c r="I147" s="494">
        <v>0</v>
      </c>
      <c r="J147" s="494">
        <v>0</v>
      </c>
      <c r="K147" s="494">
        <v>0</v>
      </c>
    </row>
    <row r="148" spans="1:11" s="368" customFormat="1">
      <c r="A148" s="284" t="s">
        <v>257</v>
      </c>
      <c r="B148" s="494">
        <v>0</v>
      </c>
      <c r="C148" s="494">
        <v>0</v>
      </c>
      <c r="D148" s="494">
        <v>0</v>
      </c>
      <c r="E148" s="494">
        <v>0</v>
      </c>
      <c r="F148" s="494">
        <v>0</v>
      </c>
      <c r="G148" s="494">
        <v>0</v>
      </c>
      <c r="H148" s="494">
        <v>0</v>
      </c>
      <c r="I148" s="494">
        <v>0</v>
      </c>
      <c r="J148" s="494">
        <v>0</v>
      </c>
      <c r="K148" s="494">
        <v>0</v>
      </c>
    </row>
    <row r="149" spans="1:11" s="368" customFormat="1">
      <c r="A149" s="284" t="s">
        <v>1302</v>
      </c>
      <c r="B149" s="494">
        <v>1</v>
      </c>
      <c r="C149" s="494">
        <v>1</v>
      </c>
      <c r="D149" s="494">
        <v>1</v>
      </c>
      <c r="E149" s="494">
        <v>1</v>
      </c>
      <c r="F149" s="494">
        <v>1</v>
      </c>
      <c r="G149" s="494">
        <v>1</v>
      </c>
      <c r="H149" s="494">
        <v>1</v>
      </c>
      <c r="I149" s="494">
        <v>1</v>
      </c>
      <c r="J149" s="494">
        <v>1</v>
      </c>
      <c r="K149" s="494">
        <v>1</v>
      </c>
    </row>
    <row r="150" spans="1:11" s="368" customFormat="1">
      <c r="A150" s="284" t="s">
        <v>255</v>
      </c>
      <c r="B150" s="494">
        <v>0</v>
      </c>
      <c r="C150" s="494">
        <v>0</v>
      </c>
      <c r="D150" s="494">
        <v>0</v>
      </c>
      <c r="E150" s="494">
        <v>0</v>
      </c>
      <c r="F150" s="494">
        <v>0</v>
      </c>
      <c r="G150" s="494">
        <v>0</v>
      </c>
      <c r="H150" s="494">
        <v>0</v>
      </c>
      <c r="I150" s="494">
        <v>0</v>
      </c>
      <c r="J150" s="494">
        <v>0</v>
      </c>
      <c r="K150" s="494">
        <v>0</v>
      </c>
    </row>
    <row r="151" spans="1:11" s="368" customFormat="1">
      <c r="A151" s="284" t="s">
        <v>1303</v>
      </c>
      <c r="B151" s="494">
        <v>0</v>
      </c>
      <c r="C151" s="494">
        <v>0</v>
      </c>
      <c r="D151" s="494">
        <v>0</v>
      </c>
      <c r="E151" s="494">
        <v>0</v>
      </c>
      <c r="F151" s="494">
        <v>0</v>
      </c>
      <c r="G151" s="494">
        <v>0</v>
      </c>
      <c r="H151" s="494">
        <v>0</v>
      </c>
      <c r="I151" s="494">
        <v>0</v>
      </c>
      <c r="J151" s="494">
        <v>0</v>
      </c>
      <c r="K151" s="494">
        <v>0</v>
      </c>
    </row>
    <row r="152" spans="1:11" s="368" customFormat="1">
      <c r="A152" s="284" t="s">
        <v>58</v>
      </c>
      <c r="B152" s="494">
        <v>0</v>
      </c>
      <c r="C152" s="494">
        <v>0</v>
      </c>
      <c r="D152" s="494">
        <v>0</v>
      </c>
      <c r="E152" s="494">
        <v>0</v>
      </c>
      <c r="F152" s="494">
        <v>0</v>
      </c>
      <c r="G152" s="494">
        <v>0</v>
      </c>
      <c r="H152" s="494">
        <v>0</v>
      </c>
      <c r="I152" s="494">
        <v>0</v>
      </c>
      <c r="J152" s="494">
        <v>0</v>
      </c>
      <c r="K152" s="494">
        <v>0</v>
      </c>
    </row>
    <row r="153" spans="1:11" s="368" customFormat="1">
      <c r="A153" s="284" t="s">
        <v>29</v>
      </c>
      <c r="B153" s="494">
        <v>0</v>
      </c>
      <c r="C153" s="494">
        <v>0</v>
      </c>
      <c r="D153" s="494">
        <v>0</v>
      </c>
      <c r="E153" s="494">
        <v>0</v>
      </c>
      <c r="F153" s="494">
        <v>0</v>
      </c>
      <c r="G153" s="494">
        <v>0</v>
      </c>
      <c r="H153" s="494">
        <v>0</v>
      </c>
      <c r="I153" s="494">
        <v>0</v>
      </c>
      <c r="J153" s="494">
        <v>0</v>
      </c>
      <c r="K153" s="494">
        <v>0</v>
      </c>
    </row>
    <row r="154" spans="1:11" s="8" customFormat="1">
      <c r="A154" s="284" t="s">
        <v>1304</v>
      </c>
      <c r="B154" s="524">
        <v>0.25</v>
      </c>
      <c r="C154" s="494">
        <f>B154</f>
        <v>0.25</v>
      </c>
      <c r="D154" s="494">
        <f t="shared" ref="D154:K155" si="37">C154</f>
        <v>0.25</v>
      </c>
      <c r="E154" s="494">
        <f t="shared" si="37"/>
        <v>0.25</v>
      </c>
      <c r="F154" s="494">
        <f t="shared" si="37"/>
        <v>0.25</v>
      </c>
      <c r="G154" s="494">
        <f t="shared" si="37"/>
        <v>0.25</v>
      </c>
      <c r="H154" s="494">
        <f t="shared" si="37"/>
        <v>0.25</v>
      </c>
      <c r="I154" s="494">
        <f t="shared" si="37"/>
        <v>0.25</v>
      </c>
      <c r="J154" s="494">
        <f t="shared" si="37"/>
        <v>0.25</v>
      </c>
      <c r="K154" s="494">
        <f t="shared" si="37"/>
        <v>0.25</v>
      </c>
    </row>
    <row r="155" spans="1:11" s="8" customFormat="1">
      <c r="A155" s="284" t="s">
        <v>28</v>
      </c>
      <c r="B155" s="407">
        <v>0.5</v>
      </c>
      <c r="C155" s="373">
        <f>B155</f>
        <v>0.5</v>
      </c>
      <c r="D155" s="373">
        <f t="shared" si="37"/>
        <v>0.5</v>
      </c>
      <c r="E155" s="373">
        <f t="shared" si="37"/>
        <v>0.5</v>
      </c>
      <c r="F155" s="373">
        <f t="shared" si="37"/>
        <v>0.5</v>
      </c>
      <c r="G155" s="373">
        <f t="shared" si="37"/>
        <v>0.5</v>
      </c>
      <c r="H155" s="373">
        <f t="shared" si="37"/>
        <v>0.5</v>
      </c>
      <c r="I155" s="373">
        <f t="shared" si="37"/>
        <v>0.5</v>
      </c>
      <c r="J155" s="373">
        <f t="shared" si="37"/>
        <v>0.5</v>
      </c>
      <c r="K155" s="373">
        <f t="shared" si="37"/>
        <v>0.5</v>
      </c>
    </row>
    <row r="156" spans="1:11" s="368" customFormat="1">
      <c r="A156" s="8"/>
      <c r="B156" s="283"/>
      <c r="C156" s="283"/>
      <c r="D156" s="8"/>
      <c r="E156" s="8"/>
      <c r="F156" s="8"/>
      <c r="G156" s="8"/>
      <c r="H156" s="8"/>
      <c r="I156" s="8"/>
      <c r="J156" s="8"/>
      <c r="K156" s="8"/>
    </row>
    <row r="157" spans="1:11" s="368" customFormat="1">
      <c r="A157" s="107" t="s">
        <v>1306</v>
      </c>
      <c r="B157" s="168" t="s">
        <v>1283</v>
      </c>
      <c r="C157" s="168" t="s">
        <v>1284</v>
      </c>
      <c r="D157" s="66" t="s">
        <v>1285</v>
      </c>
      <c r="E157" s="66" t="s">
        <v>1286</v>
      </c>
      <c r="F157" s="66" t="s">
        <v>1287</v>
      </c>
      <c r="G157" s="66" t="s">
        <v>1288</v>
      </c>
      <c r="H157" s="66" t="s">
        <v>1289</v>
      </c>
      <c r="I157" s="66" t="s">
        <v>1290</v>
      </c>
      <c r="J157" s="66" t="s">
        <v>1291</v>
      </c>
      <c r="K157" s="66" t="s">
        <v>1292</v>
      </c>
    </row>
    <row r="158" spans="1:11" s="368" customFormat="1">
      <c r="A158" s="283" t="s">
        <v>1293</v>
      </c>
      <c r="B158" s="408">
        <v>0</v>
      </c>
      <c r="C158" s="408">
        <v>0</v>
      </c>
      <c r="D158" s="408">
        <v>0</v>
      </c>
      <c r="E158" s="408">
        <v>2.14E-3</v>
      </c>
      <c r="F158" s="408">
        <v>2.0016419999999995</v>
      </c>
      <c r="G158" s="408">
        <v>1.4957819999999999</v>
      </c>
      <c r="H158" s="408">
        <v>4.8557310000000005</v>
      </c>
      <c r="I158" s="408">
        <v>4.5479820000000011</v>
      </c>
      <c r="J158" s="408">
        <v>3.4391179999999997</v>
      </c>
      <c r="K158" s="408">
        <v>2.9041289999999993</v>
      </c>
    </row>
    <row r="159" spans="1:11" s="368" customFormat="1">
      <c r="A159" s="283" t="s">
        <v>1294</v>
      </c>
      <c r="B159" s="408">
        <v>0</v>
      </c>
      <c r="C159" s="408">
        <v>0</v>
      </c>
      <c r="D159" s="408">
        <v>0</v>
      </c>
      <c r="E159" s="408">
        <v>0</v>
      </c>
      <c r="F159" s="408">
        <v>4.7484260000000003</v>
      </c>
      <c r="G159" s="408">
        <v>10.436214</v>
      </c>
      <c r="H159" s="408">
        <v>9.7793330000000047</v>
      </c>
      <c r="I159" s="408">
        <v>3.4316469999999999</v>
      </c>
      <c r="J159" s="408">
        <v>6.0887829999999967</v>
      </c>
      <c r="K159" s="408">
        <v>12.106862</v>
      </c>
    </row>
    <row r="160" spans="1:11" s="368" customFormat="1">
      <c r="A160" s="284" t="s">
        <v>26</v>
      </c>
      <c r="B160" s="408">
        <v>3.7039999999999997</v>
      </c>
      <c r="C160" s="408">
        <v>13.675000000000001</v>
      </c>
      <c r="D160" s="408">
        <v>25.101000000000003</v>
      </c>
      <c r="E160" s="408">
        <v>62.325000000000003</v>
      </c>
      <c r="F160" s="408">
        <v>133.56099999999998</v>
      </c>
      <c r="G160" s="408">
        <v>201.46300000000002</v>
      </c>
      <c r="H160" s="408">
        <v>227.57699999999997</v>
      </c>
      <c r="I160" s="408">
        <v>256.05</v>
      </c>
      <c r="J160" s="408">
        <v>281.036</v>
      </c>
      <c r="K160" s="408">
        <v>257.94899999999996</v>
      </c>
    </row>
    <row r="161" spans="1:11" s="368" customFormat="1">
      <c r="A161" s="283" t="s">
        <v>269</v>
      </c>
      <c r="B161" s="408">
        <v>0</v>
      </c>
      <c r="C161" s="408">
        <v>0</v>
      </c>
      <c r="D161" s="408">
        <v>0</v>
      </c>
      <c r="E161" s="408">
        <v>8.6439999999999989E-3</v>
      </c>
      <c r="F161" s="408">
        <v>1.730226</v>
      </c>
      <c r="G161" s="408">
        <v>6.843062999999999</v>
      </c>
      <c r="H161" s="408">
        <v>12.209292000000001</v>
      </c>
      <c r="I161" s="408">
        <v>11.795386000000001</v>
      </c>
      <c r="J161" s="408">
        <v>7.0838107568351711</v>
      </c>
      <c r="K161" s="408">
        <v>3.8571079999999998</v>
      </c>
    </row>
    <row r="162" spans="1:11" s="368" customFormat="1">
      <c r="A162" s="284" t="s">
        <v>270</v>
      </c>
      <c r="B162" s="408">
        <v>1.2000000000000002</v>
      </c>
      <c r="C162" s="408">
        <v>0.89999999999999991</v>
      </c>
      <c r="D162" s="408">
        <v>0</v>
      </c>
      <c r="E162" s="408">
        <v>0</v>
      </c>
      <c r="F162" s="408">
        <v>0</v>
      </c>
      <c r="G162" s="408">
        <v>0</v>
      </c>
      <c r="H162" s="408">
        <v>0</v>
      </c>
      <c r="I162" s="408">
        <v>0</v>
      </c>
      <c r="J162" s="408">
        <v>0</v>
      </c>
      <c r="K162" s="408">
        <v>0</v>
      </c>
    </row>
    <row r="163" spans="1:11" s="368" customFormat="1">
      <c r="A163" s="284" t="s">
        <v>974</v>
      </c>
      <c r="B163" s="408">
        <v>11.41</v>
      </c>
      <c r="C163" s="408">
        <v>22.57</v>
      </c>
      <c r="D163" s="408">
        <v>34</v>
      </c>
      <c r="E163" s="408">
        <v>48</v>
      </c>
      <c r="F163" s="408">
        <v>52.800000000000004</v>
      </c>
      <c r="G163" s="408">
        <v>33.199999999999996</v>
      </c>
      <c r="H163" s="408">
        <v>18.399999999999999</v>
      </c>
      <c r="I163" s="408">
        <v>7</v>
      </c>
      <c r="J163" s="408">
        <v>3.9080000000000004</v>
      </c>
      <c r="K163" s="408">
        <v>1.7550000000000001</v>
      </c>
    </row>
    <row r="164" spans="1:11" s="368" customFormat="1">
      <c r="A164" s="284" t="s">
        <v>263</v>
      </c>
      <c r="B164" s="408">
        <v>0</v>
      </c>
      <c r="C164" s="408">
        <v>0</v>
      </c>
      <c r="D164" s="408">
        <v>2.17</v>
      </c>
      <c r="E164" s="408">
        <v>5</v>
      </c>
      <c r="F164" s="408">
        <v>10.7</v>
      </c>
      <c r="G164" s="408">
        <v>20.100000000000001</v>
      </c>
      <c r="H164" s="408">
        <v>30</v>
      </c>
      <c r="I164" s="408">
        <v>43</v>
      </c>
      <c r="J164" s="408">
        <v>27</v>
      </c>
      <c r="K164" s="408">
        <v>18</v>
      </c>
    </row>
    <row r="165" spans="1:11" s="368" customFormat="1">
      <c r="A165" s="284" t="s">
        <v>264</v>
      </c>
      <c r="B165" s="408">
        <v>4.9000000000000004</v>
      </c>
      <c r="C165" s="408">
        <v>5.7</v>
      </c>
      <c r="D165" s="408">
        <v>5.1000000000000005</v>
      </c>
      <c r="E165" s="408">
        <v>11.86</v>
      </c>
      <c r="F165" s="408">
        <v>14.04</v>
      </c>
      <c r="G165" s="408">
        <v>12.5</v>
      </c>
      <c r="H165" s="408">
        <v>3.4000000000000004</v>
      </c>
      <c r="I165" s="408">
        <v>3.9999999999999996</v>
      </c>
      <c r="J165" s="408">
        <v>3.4</v>
      </c>
      <c r="K165" s="408">
        <v>3.4</v>
      </c>
    </row>
    <row r="166" spans="1:11" s="368" customFormat="1">
      <c r="A166" s="284" t="s">
        <v>51</v>
      </c>
      <c r="B166" s="408">
        <v>9.9</v>
      </c>
      <c r="C166" s="408">
        <v>12</v>
      </c>
      <c r="D166" s="408">
        <v>11.7</v>
      </c>
      <c r="E166" s="408">
        <v>24.6</v>
      </c>
      <c r="F166" s="408">
        <v>45.3</v>
      </c>
      <c r="G166" s="408">
        <v>30</v>
      </c>
      <c r="H166" s="408">
        <v>19.399999999999999</v>
      </c>
      <c r="I166" s="408">
        <v>19.5</v>
      </c>
      <c r="J166" s="408">
        <v>13.600000000000001</v>
      </c>
      <c r="K166" s="408">
        <v>10.4</v>
      </c>
    </row>
    <row r="167" spans="1:11" s="368" customFormat="1">
      <c r="A167" s="284" t="s">
        <v>33</v>
      </c>
      <c r="B167" s="408">
        <v>16</v>
      </c>
      <c r="C167" s="408">
        <v>29</v>
      </c>
      <c r="D167" s="408">
        <v>30</v>
      </c>
      <c r="E167" s="408">
        <v>30.700599999999998</v>
      </c>
      <c r="F167" s="408">
        <v>54.15696299999999</v>
      </c>
      <c r="G167" s="408">
        <v>60.118550999999997</v>
      </c>
      <c r="H167" s="408">
        <v>60.844525999999995</v>
      </c>
      <c r="I167" s="408">
        <v>80.592425999999989</v>
      </c>
      <c r="J167" s="408">
        <v>115.279579</v>
      </c>
      <c r="K167" s="408">
        <v>148.98248699999999</v>
      </c>
    </row>
    <row r="168" spans="1:11" s="368" customFormat="1">
      <c r="A168" s="284" t="s">
        <v>425</v>
      </c>
      <c r="B168" s="408">
        <v>9.1999999999999993</v>
      </c>
      <c r="C168" s="408">
        <v>10.6</v>
      </c>
      <c r="D168" s="408">
        <v>10.1</v>
      </c>
      <c r="E168" s="408">
        <v>12.4</v>
      </c>
      <c r="F168" s="408">
        <v>7.7</v>
      </c>
      <c r="G168" s="408">
        <v>8.1</v>
      </c>
      <c r="H168" s="408">
        <v>8.6999999999999993</v>
      </c>
      <c r="I168" s="408">
        <v>8.8000000000000007</v>
      </c>
      <c r="J168" s="408">
        <v>8</v>
      </c>
      <c r="K168" s="408">
        <v>7.2999999999999989</v>
      </c>
    </row>
    <row r="169" spans="1:11" s="368" customFormat="1">
      <c r="A169" s="284" t="s">
        <v>45</v>
      </c>
      <c r="B169" s="408">
        <v>7.1</v>
      </c>
      <c r="C169" s="408">
        <v>6</v>
      </c>
      <c r="D169" s="408">
        <v>6.6</v>
      </c>
      <c r="E169" s="408">
        <v>8.7000000000000011</v>
      </c>
      <c r="F169" s="408">
        <v>14.764104</v>
      </c>
      <c r="G169" s="408">
        <v>31.300769000000003</v>
      </c>
      <c r="H169" s="408">
        <v>53.781733000000003</v>
      </c>
      <c r="I169" s="408">
        <v>70.661805000000001</v>
      </c>
      <c r="J169" s="408">
        <v>85.240313000000015</v>
      </c>
      <c r="K169" s="408">
        <v>61.968722</v>
      </c>
    </row>
    <row r="170" spans="1:11" s="368" customFormat="1">
      <c r="A170" s="284" t="s">
        <v>927</v>
      </c>
      <c r="B170" s="408">
        <v>80.5</v>
      </c>
      <c r="C170" s="408">
        <v>100.8</v>
      </c>
      <c r="D170" s="408">
        <v>117.89999999999999</v>
      </c>
      <c r="E170" s="408">
        <v>116.7</v>
      </c>
      <c r="F170" s="408">
        <v>88.17238900000001</v>
      </c>
      <c r="G170" s="408">
        <v>56.542707999999998</v>
      </c>
      <c r="H170" s="408">
        <v>71.050178000000002</v>
      </c>
      <c r="I170" s="408">
        <v>80.709176999999997</v>
      </c>
      <c r="J170" s="408">
        <v>77.883528999999996</v>
      </c>
      <c r="K170" s="408">
        <v>71.606096000000008</v>
      </c>
    </row>
    <row r="171" spans="1:11" s="368" customFormat="1">
      <c r="A171" s="284" t="s">
        <v>56</v>
      </c>
      <c r="B171" s="408">
        <v>0</v>
      </c>
      <c r="C171" s="408">
        <v>0</v>
      </c>
      <c r="D171" s="408">
        <v>0</v>
      </c>
      <c r="E171" s="408">
        <v>0</v>
      </c>
      <c r="F171" s="408">
        <v>0</v>
      </c>
      <c r="G171" s="408">
        <v>0</v>
      </c>
      <c r="H171" s="408">
        <v>0</v>
      </c>
      <c r="I171" s="408">
        <v>0</v>
      </c>
      <c r="J171" s="408">
        <v>0</v>
      </c>
      <c r="K171" s="408">
        <v>0</v>
      </c>
    </row>
    <row r="172" spans="1:11" s="368" customFormat="1">
      <c r="A172" s="284" t="s">
        <v>54</v>
      </c>
      <c r="B172" s="408">
        <v>437.09999999999997</v>
      </c>
      <c r="C172" s="408">
        <v>468.40000000000003</v>
      </c>
      <c r="D172" s="408">
        <v>431.79999999999995</v>
      </c>
      <c r="E172" s="408">
        <v>452.99999999999994</v>
      </c>
      <c r="F172" s="408">
        <v>417.09999999999997</v>
      </c>
      <c r="G172" s="408">
        <v>336.43951900000002</v>
      </c>
      <c r="H172" s="408">
        <v>256.85342500000002</v>
      </c>
      <c r="I172" s="408">
        <v>201.72779000000003</v>
      </c>
      <c r="J172" s="408">
        <v>125.23004106599998</v>
      </c>
      <c r="K172" s="408">
        <v>52.063072999999996</v>
      </c>
    </row>
    <row r="173" spans="1:11" s="368" customFormat="1">
      <c r="A173" s="284" t="s">
        <v>1295</v>
      </c>
      <c r="B173" s="408">
        <v>3.0000000000000004</v>
      </c>
      <c r="C173" s="408">
        <v>0.2</v>
      </c>
      <c r="D173" s="408">
        <v>0</v>
      </c>
      <c r="E173" s="408">
        <v>0</v>
      </c>
      <c r="F173" s="408">
        <v>0</v>
      </c>
      <c r="G173" s="408">
        <v>0</v>
      </c>
      <c r="H173" s="408">
        <v>0</v>
      </c>
      <c r="I173" s="408">
        <v>0</v>
      </c>
      <c r="J173" s="408">
        <v>0</v>
      </c>
      <c r="K173" s="408">
        <v>0</v>
      </c>
    </row>
    <row r="174" spans="1:11" s="368" customFormat="1">
      <c r="A174" s="284" t="s">
        <v>50</v>
      </c>
      <c r="B174" s="408">
        <v>159</v>
      </c>
      <c r="C174" s="408">
        <v>100.09999999999998</v>
      </c>
      <c r="D174" s="408">
        <v>55.199999999999996</v>
      </c>
      <c r="E174" s="408">
        <v>37.200000000000003</v>
      </c>
      <c r="F174" s="408">
        <v>41.45</v>
      </c>
      <c r="G174" s="408">
        <v>29.400000000000002</v>
      </c>
      <c r="H174" s="408">
        <v>15.9</v>
      </c>
      <c r="I174" s="408">
        <v>30.300000000000004</v>
      </c>
      <c r="J174" s="408">
        <v>0</v>
      </c>
      <c r="K174" s="408">
        <v>0</v>
      </c>
    </row>
    <row r="175" spans="1:11" s="368" customFormat="1">
      <c r="A175" s="284" t="s">
        <v>265</v>
      </c>
      <c r="B175" s="408">
        <v>4.5</v>
      </c>
      <c r="C175" s="408">
        <v>5.7</v>
      </c>
      <c r="D175" s="408">
        <v>3.8999999999999995</v>
      </c>
      <c r="E175" s="408">
        <v>4.1999999999999993</v>
      </c>
      <c r="F175" s="408">
        <v>4.25</v>
      </c>
      <c r="G175" s="408">
        <v>3.3</v>
      </c>
      <c r="H175" s="408">
        <v>1.1500000000000001</v>
      </c>
      <c r="I175" s="408">
        <v>0</v>
      </c>
      <c r="J175" s="408">
        <v>0</v>
      </c>
      <c r="K175" s="408">
        <v>0</v>
      </c>
    </row>
    <row r="176" spans="1:11" s="368" customFormat="1">
      <c r="A176" s="284" t="s">
        <v>961</v>
      </c>
      <c r="B176" s="408">
        <v>0</v>
      </c>
      <c r="C176" s="408">
        <v>0</v>
      </c>
      <c r="D176" s="408">
        <v>0</v>
      </c>
      <c r="E176" s="408">
        <v>0</v>
      </c>
      <c r="F176" s="408">
        <v>0</v>
      </c>
      <c r="G176" s="408">
        <v>0</v>
      </c>
      <c r="H176" s="408">
        <v>0</v>
      </c>
      <c r="I176" s="408">
        <v>0</v>
      </c>
      <c r="J176" s="408">
        <v>42.8</v>
      </c>
      <c r="K176" s="408">
        <v>96.4</v>
      </c>
    </row>
    <row r="177" spans="1:11" s="368" customFormat="1">
      <c r="A177" s="284" t="s">
        <v>1296</v>
      </c>
      <c r="B177" s="408">
        <v>3.0220000000000002</v>
      </c>
      <c r="C177" s="408">
        <v>3.5</v>
      </c>
      <c r="D177" s="408">
        <v>2.2309999999999999</v>
      </c>
      <c r="E177" s="408">
        <v>1.4100000000000001</v>
      </c>
      <c r="F177" s="408">
        <v>0.2</v>
      </c>
      <c r="G177" s="408">
        <v>0</v>
      </c>
      <c r="H177" s="408">
        <v>0</v>
      </c>
      <c r="I177" s="408">
        <v>0</v>
      </c>
      <c r="J177" s="408">
        <v>0</v>
      </c>
      <c r="K177" s="408">
        <v>0</v>
      </c>
    </row>
    <row r="178" spans="1:11" s="368" customFormat="1">
      <c r="A178" s="284" t="s">
        <v>266</v>
      </c>
      <c r="B178" s="408">
        <v>8.8999999999999986</v>
      </c>
      <c r="C178" s="408">
        <v>7.2000000000000011</v>
      </c>
      <c r="D178" s="408">
        <v>5.8900000000000006</v>
      </c>
      <c r="E178" s="408">
        <v>4.6399999999999997</v>
      </c>
      <c r="F178" s="408">
        <v>3.0049999999999999</v>
      </c>
      <c r="G178" s="408">
        <v>2.7</v>
      </c>
      <c r="H178" s="408">
        <v>2.1999999999999997</v>
      </c>
      <c r="I178" s="408">
        <v>0.30000000000000004</v>
      </c>
      <c r="J178" s="408">
        <v>0</v>
      </c>
      <c r="K178" s="408">
        <v>0</v>
      </c>
    </row>
    <row r="179" spans="1:11" s="368" customFormat="1">
      <c r="A179" s="284" t="s">
        <v>268</v>
      </c>
      <c r="B179" s="408">
        <v>8.5</v>
      </c>
      <c r="C179" s="408">
        <v>9.8000000000000007</v>
      </c>
      <c r="D179" s="408">
        <v>9.4</v>
      </c>
      <c r="E179" s="408">
        <v>11.242000000000001</v>
      </c>
      <c r="F179" s="408">
        <v>12.512</v>
      </c>
      <c r="G179" s="408">
        <v>7.9930000000000003</v>
      </c>
      <c r="H179" s="408">
        <v>4.6740000000000004</v>
      </c>
      <c r="I179" s="408">
        <v>3.8129999999999997</v>
      </c>
      <c r="J179" s="408">
        <v>0</v>
      </c>
      <c r="K179" s="408">
        <v>0</v>
      </c>
    </row>
    <row r="180" spans="1:11" s="368" customFormat="1">
      <c r="A180" s="284" t="s">
        <v>1297</v>
      </c>
      <c r="B180" s="408">
        <v>11.736000000000001</v>
      </c>
      <c r="C180" s="408">
        <v>5.7</v>
      </c>
      <c r="D180" s="408">
        <v>1.7</v>
      </c>
      <c r="E180" s="408">
        <v>3</v>
      </c>
      <c r="F180" s="408">
        <v>0</v>
      </c>
      <c r="G180" s="408">
        <v>0</v>
      </c>
      <c r="H180" s="408">
        <v>0</v>
      </c>
      <c r="I180" s="408">
        <v>0</v>
      </c>
      <c r="J180" s="408">
        <v>0</v>
      </c>
      <c r="K180" s="408">
        <v>0</v>
      </c>
    </row>
    <row r="181" spans="1:11" s="368" customFormat="1">
      <c r="A181" s="284" t="s">
        <v>25</v>
      </c>
      <c r="B181" s="408">
        <v>161.1</v>
      </c>
      <c r="C181" s="408">
        <v>196.6</v>
      </c>
      <c r="D181" s="408">
        <v>227.1</v>
      </c>
      <c r="E181" s="408">
        <v>280.7</v>
      </c>
      <c r="F181" s="408">
        <v>333.86686000000003</v>
      </c>
      <c r="G181" s="408">
        <v>416.5</v>
      </c>
      <c r="H181" s="408">
        <v>496</v>
      </c>
      <c r="I181" s="408">
        <v>447</v>
      </c>
      <c r="J181" s="408">
        <v>423.5</v>
      </c>
      <c r="K181" s="408">
        <v>387.5</v>
      </c>
    </row>
    <row r="182" spans="1:11" s="368" customFormat="1">
      <c r="A182" s="284" t="s">
        <v>1298</v>
      </c>
      <c r="B182" s="408">
        <v>7.4</v>
      </c>
      <c r="C182" s="408">
        <v>2</v>
      </c>
      <c r="D182" s="408">
        <v>0</v>
      </c>
      <c r="E182" s="408">
        <v>0</v>
      </c>
      <c r="F182" s="408">
        <v>0</v>
      </c>
      <c r="G182" s="408">
        <v>0</v>
      </c>
      <c r="H182" s="408">
        <v>0</v>
      </c>
      <c r="I182" s="408">
        <v>0</v>
      </c>
      <c r="J182" s="408">
        <v>0</v>
      </c>
      <c r="K182" s="408">
        <v>0</v>
      </c>
    </row>
    <row r="183" spans="1:11" s="368" customFormat="1">
      <c r="A183" s="284" t="s">
        <v>1299</v>
      </c>
      <c r="B183" s="408">
        <v>16.899999999999999</v>
      </c>
      <c r="C183" s="408">
        <v>11.6</v>
      </c>
      <c r="D183" s="408">
        <v>9.8999999999999986</v>
      </c>
      <c r="E183" s="408">
        <v>10.87</v>
      </c>
      <c r="F183" s="408">
        <v>7.9900000000000011</v>
      </c>
      <c r="G183" s="408">
        <v>6.1</v>
      </c>
      <c r="H183" s="408">
        <v>6</v>
      </c>
      <c r="I183" s="408">
        <v>5.5</v>
      </c>
      <c r="J183" s="408">
        <v>4.2</v>
      </c>
      <c r="K183" s="408">
        <v>3.1</v>
      </c>
    </row>
    <row r="184" spans="1:11" s="368" customFormat="1">
      <c r="A184" s="284" t="s">
        <v>1300</v>
      </c>
      <c r="B184" s="408">
        <v>103.4</v>
      </c>
      <c r="C184" s="408">
        <v>94.95</v>
      </c>
      <c r="D184" s="408">
        <v>57.3</v>
      </c>
      <c r="E184" s="408">
        <v>43.100000000000009</v>
      </c>
      <c r="F184" s="408">
        <v>34.200000000000003</v>
      </c>
      <c r="G184" s="408">
        <v>31</v>
      </c>
      <c r="H184" s="408">
        <v>38.4</v>
      </c>
      <c r="I184" s="408">
        <v>40</v>
      </c>
      <c r="J184" s="408">
        <v>29.4</v>
      </c>
      <c r="K184" s="408">
        <v>15.1</v>
      </c>
    </row>
    <row r="185" spans="1:11" s="368" customFormat="1">
      <c r="A185" s="284" t="s">
        <v>1301</v>
      </c>
      <c r="B185" s="408">
        <v>0</v>
      </c>
      <c r="C185" s="408">
        <v>0</v>
      </c>
      <c r="D185" s="408">
        <v>0</v>
      </c>
      <c r="E185" s="408">
        <v>0</v>
      </c>
      <c r="F185" s="408">
        <v>0</v>
      </c>
      <c r="G185" s="408">
        <v>0</v>
      </c>
      <c r="H185" s="408">
        <v>0</v>
      </c>
      <c r="I185" s="408">
        <v>0</v>
      </c>
      <c r="J185" s="408">
        <v>0</v>
      </c>
      <c r="K185" s="408">
        <v>0</v>
      </c>
    </row>
    <row r="186" spans="1:11" s="368" customFormat="1">
      <c r="A186" s="284" t="s">
        <v>257</v>
      </c>
      <c r="B186" s="408">
        <v>11.9</v>
      </c>
      <c r="C186" s="408">
        <v>13.7</v>
      </c>
      <c r="D186" s="408">
        <v>16.100000000000001</v>
      </c>
      <c r="E186" s="408">
        <v>36.200000000000003</v>
      </c>
      <c r="F186" s="408">
        <v>43.595999999999997</v>
      </c>
      <c r="G186" s="408">
        <v>41.569000000000003</v>
      </c>
      <c r="H186" s="408">
        <v>52.699999999999996</v>
      </c>
      <c r="I186" s="408">
        <v>70.300000000000011</v>
      </c>
      <c r="J186" s="408">
        <v>74.900000000000006</v>
      </c>
      <c r="K186" s="408">
        <v>67.400000000000006</v>
      </c>
    </row>
    <row r="187" spans="1:11" s="368" customFormat="1">
      <c r="A187" s="284" t="s">
        <v>1302</v>
      </c>
      <c r="B187" s="408">
        <v>3.4000000000000004</v>
      </c>
      <c r="C187" s="408">
        <v>2.4</v>
      </c>
      <c r="D187" s="408">
        <v>2</v>
      </c>
      <c r="E187" s="408">
        <v>1.3</v>
      </c>
      <c r="F187" s="408">
        <v>0</v>
      </c>
      <c r="G187" s="408">
        <v>0</v>
      </c>
      <c r="H187" s="408">
        <v>0</v>
      </c>
      <c r="I187" s="408">
        <v>0</v>
      </c>
      <c r="J187" s="408">
        <v>0</v>
      </c>
      <c r="K187" s="408">
        <v>0</v>
      </c>
    </row>
    <row r="188" spans="1:11" s="368" customFormat="1">
      <c r="A188" s="284" t="s">
        <v>255</v>
      </c>
      <c r="B188" s="408">
        <v>0</v>
      </c>
      <c r="C188" s="408">
        <v>0</v>
      </c>
      <c r="D188" s="408">
        <v>0</v>
      </c>
      <c r="E188" s="408">
        <v>0</v>
      </c>
      <c r="F188" s="408">
        <v>0</v>
      </c>
      <c r="G188" s="408">
        <v>0</v>
      </c>
      <c r="H188" s="408">
        <v>0</v>
      </c>
      <c r="I188" s="408">
        <v>0</v>
      </c>
      <c r="J188" s="408">
        <v>38.5</v>
      </c>
      <c r="K188" s="408">
        <v>76.900000000000006</v>
      </c>
    </row>
    <row r="189" spans="1:11" s="368" customFormat="1">
      <c r="A189" s="284" t="s">
        <v>1303</v>
      </c>
      <c r="B189" s="408">
        <v>30.6</v>
      </c>
      <c r="C189" s="408">
        <v>50.5</v>
      </c>
      <c r="D189" s="408">
        <v>120</v>
      </c>
      <c r="E189" s="408">
        <v>142.5</v>
      </c>
      <c r="F189" s="408">
        <v>131.49417516096744</v>
      </c>
      <c r="G189" s="408">
        <v>114.05302862827928</v>
      </c>
      <c r="H189" s="408">
        <v>53.628722290213076</v>
      </c>
      <c r="I189" s="408">
        <v>81.185727921986114</v>
      </c>
      <c r="J189" s="408">
        <v>0</v>
      </c>
      <c r="K189" s="408">
        <v>0</v>
      </c>
    </row>
    <row r="190" spans="1:11" s="368" customFormat="1">
      <c r="A190" s="284" t="s">
        <v>58</v>
      </c>
      <c r="B190" s="408">
        <v>0</v>
      </c>
      <c r="C190" s="408">
        <v>0</v>
      </c>
      <c r="D190" s="408">
        <v>0</v>
      </c>
      <c r="E190" s="408">
        <v>0</v>
      </c>
      <c r="F190" s="408">
        <v>0.4</v>
      </c>
      <c r="G190" s="408">
        <v>7.2</v>
      </c>
      <c r="H190" s="408">
        <v>18.7</v>
      </c>
      <c r="I190" s="408">
        <v>61.1</v>
      </c>
      <c r="J190" s="408">
        <v>71.7</v>
      </c>
      <c r="K190" s="408">
        <v>55</v>
      </c>
    </row>
    <row r="191" spans="1:11" s="368" customFormat="1">
      <c r="A191" s="284" t="s">
        <v>29</v>
      </c>
      <c r="B191" s="408">
        <v>25</v>
      </c>
      <c r="C191" s="408">
        <v>37</v>
      </c>
      <c r="D191" s="408">
        <v>41</v>
      </c>
      <c r="E191" s="408">
        <v>61</v>
      </c>
      <c r="F191" s="408">
        <v>82.853999999999999</v>
      </c>
      <c r="G191" s="408">
        <v>70.5</v>
      </c>
      <c r="H191" s="408">
        <v>66</v>
      </c>
      <c r="I191" s="408">
        <v>76</v>
      </c>
      <c r="J191" s="408">
        <v>77.38</v>
      </c>
      <c r="K191" s="408">
        <v>65.5</v>
      </c>
    </row>
    <row r="192" spans="1:11" s="368" customFormat="1">
      <c r="A192" s="284" t="s">
        <v>1304</v>
      </c>
      <c r="B192" s="408">
        <v>44.7</v>
      </c>
      <c r="C192" s="408">
        <v>38.799999999999997</v>
      </c>
      <c r="D192" s="408">
        <v>44.8</v>
      </c>
      <c r="E192" s="408">
        <v>117.5</v>
      </c>
      <c r="F192" s="408">
        <v>187.63752858474561</v>
      </c>
      <c r="G192" s="408">
        <v>210.35116198367149</v>
      </c>
      <c r="H192" s="408">
        <v>310.56969239923308</v>
      </c>
      <c r="I192" s="408">
        <v>122.51427207801396</v>
      </c>
      <c r="J192" s="408">
        <v>153.70000000000005</v>
      </c>
      <c r="K192" s="408">
        <v>134.69999999999999</v>
      </c>
    </row>
    <row r="193" spans="1:11" s="368" customFormat="1">
      <c r="A193" s="284" t="s">
        <v>28</v>
      </c>
      <c r="B193" s="408">
        <v>8.4999999999999716</v>
      </c>
      <c r="C193" s="408">
        <v>13.449999999999909</v>
      </c>
      <c r="D193" s="408">
        <v>15.800000000000034</v>
      </c>
      <c r="E193" s="408">
        <v>24.704909000000082</v>
      </c>
      <c r="F193" s="408">
        <v>43.731773967721637</v>
      </c>
      <c r="G193" s="408">
        <v>71.316146999999845</v>
      </c>
      <c r="H193" s="408">
        <v>111.84994000000029</v>
      </c>
      <c r="I193" s="408">
        <v>194.43356399999965</v>
      </c>
      <c r="J193" s="408">
        <v>225.01047758850763</v>
      </c>
      <c r="K193" s="408">
        <v>239.75973199999967</v>
      </c>
    </row>
    <row r="194" spans="1:11" s="368" customFormat="1">
      <c r="A194" s="404" t="s">
        <v>30</v>
      </c>
      <c r="B194" s="409">
        <f t="shared" ref="B194:J194" si="38">SUM(B158:B193)</f>
        <v>1192.5720000000001</v>
      </c>
      <c r="C194" s="409">
        <f t="shared" si="38"/>
        <v>1262.845</v>
      </c>
      <c r="D194" s="409">
        <f t="shared" si="38"/>
        <v>1286.7919999999999</v>
      </c>
      <c r="E194" s="409">
        <f t="shared" si="38"/>
        <v>1552.8632929999999</v>
      </c>
      <c r="F194" s="409">
        <f t="shared" si="38"/>
        <v>1773.962087713435</v>
      </c>
      <c r="G194" s="409">
        <f t="shared" si="38"/>
        <v>1820.5219436119505</v>
      </c>
      <c r="H194" s="409">
        <f t="shared" si="38"/>
        <v>1954.6235726894463</v>
      </c>
      <c r="I194" s="409">
        <f t="shared" si="38"/>
        <v>1924.2627769999997</v>
      </c>
      <c r="J194" s="409">
        <f t="shared" si="38"/>
        <v>1898.2796514113434</v>
      </c>
      <c r="K194" s="409">
        <f>SUM(K158:K193)</f>
        <v>1793.6522089999996</v>
      </c>
    </row>
    <row r="195" spans="1:11">
      <c r="A195" s="8"/>
      <c r="B195" s="8"/>
      <c r="C195" s="8"/>
      <c r="D195" s="8"/>
      <c r="E195" s="8"/>
      <c r="F195" s="8"/>
      <c r="G195" s="8"/>
      <c r="H195" s="8"/>
      <c r="I195" s="8"/>
      <c r="J195" s="8"/>
      <c r="K195" s="8"/>
    </row>
    <row r="196" spans="1:11">
      <c r="A196" s="284" t="s">
        <v>1329</v>
      </c>
      <c r="B196" s="8"/>
      <c r="C196" s="8"/>
      <c r="D196" s="8"/>
      <c r="E196" s="8"/>
      <c r="F196" s="8"/>
      <c r="G196" s="8"/>
      <c r="H196" s="8"/>
      <c r="I196" s="8"/>
      <c r="J196" s="8"/>
      <c r="K196" s="8"/>
    </row>
    <row r="197" spans="1:11">
      <c r="A197" s="8"/>
      <c r="B197" s="8"/>
      <c r="C197" s="8"/>
      <c r="D197" s="8"/>
      <c r="E197" s="8"/>
      <c r="F197" s="8"/>
      <c r="G197" s="8"/>
      <c r="H197" s="8"/>
      <c r="I197" s="8"/>
      <c r="J197" s="8"/>
      <c r="K197" s="8"/>
    </row>
  </sheetData>
  <sortState ref="A1725:B1756">
    <sortCondition ref="B1725:B1756"/>
  </sortState>
  <mergeCells count="9">
    <mergeCell ref="A65:E65"/>
    <mergeCell ref="A66:E66"/>
    <mergeCell ref="A67:E67"/>
    <mergeCell ref="A68:E68"/>
    <mergeCell ref="A10:E10"/>
    <mergeCell ref="A13:E13"/>
    <mergeCell ref="A15:E15"/>
    <mergeCell ref="A63:E63"/>
    <mergeCell ref="A64:E64"/>
  </mergeCells>
  <phoneticPr fontId="16" type="noConversion"/>
  <hyperlinks>
    <hyperlink ref="A7" r:id="rId1"/>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rowBreaks count="4" manualBreakCount="4">
    <brk id="59" max="16383" man="1"/>
    <brk id="79" max="16383" man="1"/>
    <brk id="117" max="16383" man="1"/>
    <brk id="156" max="16383" man="1"/>
  </rowBreaks>
  <extLst>
    <ext xmlns:mx="http://schemas.microsoft.com/office/mac/excel/2008/main" uri="{64002731-A6B0-56B0-2670-7721B7C09600}">
      <mx:PLV Mode="1" OnePage="0" WScale="10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1"/>
  <sheetViews>
    <sheetView showGridLines="0" view="pageLayout" topLeftCell="A10" workbookViewId="0">
      <selection activeCell="A21" sqref="A21"/>
    </sheetView>
  </sheetViews>
  <sheetFormatPr baseColWidth="10" defaultRowHeight="15.6"/>
  <cols>
    <col min="1" max="1" width="80.296875" customWidth="1"/>
  </cols>
  <sheetData>
    <row r="2" spans="1:1">
      <c r="A2" s="143" t="s">
        <v>510</v>
      </c>
    </row>
    <row r="3" spans="1:1" ht="18">
      <c r="A3" s="53" t="str">
        <f>CONCATENATE(VLOOKUP($A$2,'Table of Contents'!$B:$E,4,FALSE)," ",$A$2)</f>
        <v>4.5 SISVEL LTE</v>
      </c>
    </row>
    <row r="4" spans="1:1">
      <c r="A4" t="str">
        <f>VLOOKUP($A$2,'Table of Contents'!$B:$E,3,FALSE)</f>
        <v>Pool</v>
      </c>
    </row>
    <row r="5" spans="1:1">
      <c r="A5" s="54" t="str">
        <f>VLOOKUP($A$2,'Table of Contents'!$B:$E,2,FALSE)</f>
        <v>Researched</v>
      </c>
    </row>
    <row r="7" spans="1:1">
      <c r="A7" s="9" t="s">
        <v>505</v>
      </c>
    </row>
    <row r="8" spans="1:1" ht="78">
      <c r="A8" s="467" t="s">
        <v>594</v>
      </c>
    </row>
    <row r="9" spans="1:1">
      <c r="A9" s="467" t="s">
        <v>593</v>
      </c>
    </row>
    <row r="10" spans="1:1">
      <c r="A10" s="36"/>
    </row>
    <row r="11" spans="1:1">
      <c r="A11" s="10" t="s">
        <v>539</v>
      </c>
    </row>
    <row r="12" spans="1:1" ht="31.2">
      <c r="A12" s="467" t="s">
        <v>595</v>
      </c>
    </row>
    <row r="13" spans="1:1" ht="46.8">
      <c r="A13" s="467" t="s">
        <v>596</v>
      </c>
    </row>
    <row r="14" spans="1:1">
      <c r="A14" s="36"/>
    </row>
    <row r="15" spans="1:1">
      <c r="A15" s="9" t="s">
        <v>308</v>
      </c>
    </row>
    <row r="16" spans="1:1" ht="31.2">
      <c r="A16" s="42" t="s">
        <v>599</v>
      </c>
    </row>
    <row r="17" spans="1:1">
      <c r="A17" s="36"/>
    </row>
    <row r="18" spans="1:1" ht="31.2">
      <c r="A18" s="467" t="s">
        <v>588</v>
      </c>
    </row>
    <row r="19" spans="1:1">
      <c r="A19" s="36"/>
    </row>
    <row r="20" spans="1:1">
      <c r="A20" s="9" t="s">
        <v>538</v>
      </c>
    </row>
    <row r="21" spans="1:1" ht="46.8">
      <c r="A21" s="467" t="s">
        <v>597</v>
      </c>
    </row>
  </sheetData>
  <phoneticPr fontId="16" type="noConversion"/>
  <hyperlinks>
    <hyperlink ref="A16" r:id="rId1" display="Via details their royalty rates, which decline to $2.10/ unit at the highest tier.  This is a significant price/ unit for a pool lacking the scale of the leading portfolios, which likely disincents many licensees from enrolling.  This might change in the "/>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&amp;N&amp;R&amp;D</oddFooter>
  </headerFooter>
  <extLst>
    <ext xmlns:mx="http://schemas.microsoft.com/office/mac/excel/2008/main" uri="{64002731-A6B0-56B0-2670-7721B7C09600}">
      <mx:PLV Mode="1" OnePage="0" WScale="10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6"/>
  <sheetViews>
    <sheetView showGridLines="0" view="pageLayout" topLeftCell="A8" workbookViewId="0">
      <selection activeCell="A22" sqref="A22"/>
    </sheetView>
  </sheetViews>
  <sheetFormatPr baseColWidth="10" defaultRowHeight="15.6"/>
  <cols>
    <col min="1" max="1" width="77.296875" style="36" customWidth="1"/>
  </cols>
  <sheetData>
    <row r="2" spans="1:1">
      <c r="A2" s="188" t="s">
        <v>511</v>
      </c>
    </row>
    <row r="3" spans="1:1" ht="18">
      <c r="A3" s="55" t="str">
        <f>CONCATENATE(VLOOKUP($A$2,'Table of Contents'!$B:$E,4,FALSE)," ",$A$2)</f>
        <v>4.6 SISVEL WiFi</v>
      </c>
    </row>
    <row r="4" spans="1:1">
      <c r="A4" t="str">
        <f>VLOOKUP($A$2,'Table of Contents'!$B:$E,3,FALSE)</f>
        <v>Pool</v>
      </c>
    </row>
    <row r="5" spans="1:1">
      <c r="A5" s="54" t="str">
        <f>VLOOKUP($A$2,'Table of Contents'!$B:$E,2,FALSE)</f>
        <v>Researched</v>
      </c>
    </row>
    <row r="7" spans="1:1">
      <c r="A7" s="10" t="s">
        <v>505</v>
      </c>
    </row>
    <row r="8" spans="1:1" ht="46.8">
      <c r="A8" s="36" t="s">
        <v>601</v>
      </c>
    </row>
    <row r="9" spans="1:1">
      <c r="A9" s="36" t="s">
        <v>593</v>
      </c>
    </row>
    <row r="11" spans="1:1">
      <c r="A11" s="10" t="s">
        <v>539</v>
      </c>
    </row>
    <row r="12" spans="1:1" ht="31.2">
      <c r="A12" s="36" t="s">
        <v>595</v>
      </c>
    </row>
    <row r="13" spans="1:1" ht="46.8">
      <c r="A13" s="36" t="s">
        <v>596</v>
      </c>
    </row>
    <row r="14" spans="1:1" ht="62.4">
      <c r="A14" s="36" t="s">
        <v>600</v>
      </c>
    </row>
    <row r="16" spans="1:1">
      <c r="A16" s="9" t="s">
        <v>308</v>
      </c>
    </row>
    <row r="17" spans="1:1" ht="31.2">
      <c r="A17" s="42" t="s">
        <v>598</v>
      </c>
    </row>
    <row r="19" spans="1:1" ht="31.2">
      <c r="A19" s="36" t="s">
        <v>918</v>
      </c>
    </row>
    <row r="21" spans="1:1">
      <c r="A21" s="36" t="s">
        <v>917</v>
      </c>
    </row>
    <row r="23" spans="1:1">
      <c r="A23" s="10" t="s">
        <v>538</v>
      </c>
    </row>
    <row r="24" spans="1:1" ht="62.4">
      <c r="A24" s="36" t="s">
        <v>597</v>
      </c>
    </row>
    <row r="26" spans="1:1" ht="31.2">
      <c r="A26" s="36" t="s">
        <v>602</v>
      </c>
    </row>
  </sheetData>
  <phoneticPr fontId="16" type="noConversion"/>
  <hyperlinks>
    <hyperlink ref="A17" r:id="rId1" display="SISVEL details their royalty rates, which decline to as little as €0.24/ unit at the highest scale tier."/>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7"/>
  <sheetViews>
    <sheetView showGridLines="0" view="pageLayout" topLeftCell="A91" zoomScale="65" zoomScalePageLayoutView="65" workbookViewId="0">
      <selection activeCell="D100" sqref="D100"/>
    </sheetView>
  </sheetViews>
  <sheetFormatPr baseColWidth="10" defaultRowHeight="15.6"/>
  <cols>
    <col min="1" max="1" width="46.796875" customWidth="1"/>
    <col min="2" max="11" width="12.296875" customWidth="1"/>
    <col min="12" max="16" width="14.19921875" customWidth="1"/>
    <col min="17" max="17" width="11.296875" bestFit="1" customWidth="1"/>
  </cols>
  <sheetData>
    <row r="2" spans="1:8">
      <c r="A2" s="143" t="s">
        <v>891</v>
      </c>
    </row>
    <row r="3" spans="1:8" ht="18">
      <c r="A3" s="53" t="str">
        <f>CONCATENATE(VLOOKUP($A$2,'Table of Contents'!$B:$E,4,FALSE)," ",$A$2)</f>
        <v>4.7 Via Licensing WCDMA</v>
      </c>
    </row>
    <row r="4" spans="1:8">
      <c r="A4" t="str">
        <f>VLOOKUP($A$2,'Table of Contents'!$B:$E,3,FALSE)</f>
        <v>Pool</v>
      </c>
    </row>
    <row r="5" spans="1:8">
      <c r="A5" s="54" t="str">
        <f>VLOOKUP($A$2,'Table of Contents'!$B:$E,2,FALSE)</f>
        <v>Researched</v>
      </c>
    </row>
    <row r="6" spans="1:8">
      <c r="A6" s="9"/>
    </row>
    <row r="7" spans="1:8">
      <c r="A7" s="9" t="s">
        <v>505</v>
      </c>
    </row>
    <row r="8" spans="1:8" ht="46.05" customHeight="1">
      <c r="A8" s="575" t="s">
        <v>957</v>
      </c>
      <c r="B8" s="575"/>
      <c r="C8" s="575"/>
      <c r="D8" s="575"/>
      <c r="E8" s="575"/>
      <c r="F8" s="575"/>
      <c r="G8" s="42"/>
      <c r="H8" s="42"/>
    </row>
    <row r="10" spans="1:8">
      <c r="A10" s="9" t="s">
        <v>539</v>
      </c>
    </row>
    <row r="11" spans="1:8">
      <c r="A11" s="9"/>
    </row>
    <row r="12" spans="1:8">
      <c r="A12" s="162" t="s">
        <v>328</v>
      </c>
      <c r="B12" s="6"/>
      <c r="C12" s="6"/>
    </row>
    <row r="13" spans="1:8">
      <c r="A13" s="6" t="s">
        <v>329</v>
      </c>
      <c r="B13" s="6"/>
      <c r="C13" s="6"/>
    </row>
    <row r="14" spans="1:8">
      <c r="A14" s="6" t="s">
        <v>136</v>
      </c>
      <c r="B14" s="6"/>
      <c r="C14" s="6"/>
    </row>
    <row r="15" spans="1:8">
      <c r="A15" s="6" t="s">
        <v>330</v>
      </c>
      <c r="B15" s="6"/>
      <c r="C15" s="6"/>
    </row>
    <row r="16" spans="1:8">
      <c r="A16" s="6" t="s">
        <v>331</v>
      </c>
      <c r="B16" s="6"/>
      <c r="C16" s="6"/>
    </row>
    <row r="17" spans="1:8">
      <c r="A17" s="6" t="s">
        <v>158</v>
      </c>
      <c r="B17" s="6"/>
      <c r="C17" s="6"/>
    </row>
    <row r="18" spans="1:8">
      <c r="A18" s="6" t="s">
        <v>161</v>
      </c>
      <c r="B18" s="6"/>
      <c r="C18" s="6"/>
    </row>
    <row r="19" spans="1:8">
      <c r="A19" s="6" t="s">
        <v>332</v>
      </c>
      <c r="B19" s="6"/>
      <c r="C19" s="6"/>
    </row>
    <row r="20" spans="1:8">
      <c r="A20" s="6" t="s">
        <v>333</v>
      </c>
      <c r="B20" s="6"/>
      <c r="C20" s="6"/>
    </row>
    <row r="21" spans="1:8">
      <c r="A21" s="6" t="s">
        <v>209</v>
      </c>
      <c r="B21" s="6"/>
      <c r="C21" s="6"/>
    </row>
    <row r="22" spans="1:8">
      <c r="A22" s="6" t="s">
        <v>176</v>
      </c>
      <c r="B22" s="6"/>
      <c r="C22" s="6"/>
    </row>
    <row r="23" spans="1:8">
      <c r="A23" s="6" t="s">
        <v>178</v>
      </c>
      <c r="B23" s="6"/>
      <c r="C23" s="6"/>
    </row>
    <row r="24" spans="1:8">
      <c r="A24" s="6" t="s">
        <v>334</v>
      </c>
      <c r="B24" s="6"/>
      <c r="C24" s="6"/>
    </row>
    <row r="25" spans="1:8">
      <c r="A25" s="6" t="s">
        <v>191</v>
      </c>
      <c r="B25" s="6"/>
      <c r="C25" s="6"/>
    </row>
    <row r="26" spans="1:8">
      <c r="B26" s="6"/>
      <c r="C26" s="6"/>
    </row>
    <row r="27" spans="1:8">
      <c r="A27" s="6"/>
      <c r="B27" s="6"/>
      <c r="C27" s="6"/>
    </row>
    <row r="28" spans="1:8" ht="46.05" customHeight="1">
      <c r="A28" s="577" t="s">
        <v>724</v>
      </c>
      <c r="B28" s="577"/>
      <c r="C28" s="577"/>
      <c r="D28" s="577"/>
      <c r="E28" s="577"/>
      <c r="F28" s="577"/>
      <c r="G28" s="577"/>
      <c r="H28" s="577"/>
    </row>
    <row r="29" spans="1:8" ht="43.95" customHeight="1">
      <c r="A29" s="577" t="s">
        <v>729</v>
      </c>
      <c r="B29" s="577"/>
      <c r="C29" s="577"/>
      <c r="D29" s="577"/>
      <c r="E29" s="577"/>
      <c r="F29" s="577"/>
      <c r="G29" s="577"/>
      <c r="H29" s="577"/>
    </row>
    <row r="30" spans="1:8" ht="16.95" customHeight="1">
      <c r="A30" s="166"/>
      <c r="B30" s="166"/>
      <c r="C30" s="166"/>
      <c r="D30" s="166"/>
      <c r="E30" s="166"/>
      <c r="F30" s="166"/>
      <c r="G30" s="166"/>
      <c r="H30" s="166"/>
    </row>
    <row r="31" spans="1:8" ht="16.95" customHeight="1">
      <c r="A31" s="577" t="s">
        <v>730</v>
      </c>
      <c r="B31" s="548"/>
      <c r="C31" s="548"/>
      <c r="D31" s="548"/>
      <c r="E31" s="548"/>
      <c r="F31" s="548"/>
      <c r="G31" s="548"/>
      <c r="H31" s="548"/>
    </row>
    <row r="32" spans="1:8" ht="16.95" customHeight="1">
      <c r="A32" s="548"/>
      <c r="B32" s="548"/>
      <c r="C32" s="548"/>
      <c r="D32" s="548"/>
      <c r="E32" s="548"/>
      <c r="F32" s="548"/>
      <c r="G32" s="548"/>
      <c r="H32" s="548"/>
    </row>
    <row r="33" spans="1:8" ht="16.95" customHeight="1">
      <c r="A33" s="548"/>
      <c r="B33" s="548"/>
      <c r="C33" s="548"/>
      <c r="D33" s="548"/>
      <c r="E33" s="548"/>
      <c r="F33" s="548"/>
      <c r="G33" s="548"/>
      <c r="H33" s="548"/>
    </row>
    <row r="34" spans="1:8" ht="16.95" customHeight="1">
      <c r="A34" s="166"/>
      <c r="B34" s="166"/>
      <c r="C34" s="166"/>
      <c r="D34" s="166"/>
      <c r="E34" s="166"/>
      <c r="F34" s="166"/>
      <c r="G34" s="166"/>
      <c r="H34" s="166"/>
    </row>
    <row r="35" spans="1:8">
      <c r="A35" s="12"/>
      <c r="B35" s="6"/>
      <c r="C35" s="6"/>
    </row>
    <row r="36" spans="1:8">
      <c r="A36" s="51" t="s">
        <v>1323</v>
      </c>
    </row>
    <row r="37" spans="1:8">
      <c r="A37" t="s">
        <v>341</v>
      </c>
    </row>
    <row r="38" spans="1:8">
      <c r="A38" t="s">
        <v>342</v>
      </c>
    </row>
    <row r="39" spans="1:8">
      <c r="A39" t="s">
        <v>720</v>
      </c>
    </row>
    <row r="40" spans="1:8">
      <c r="A40" t="s">
        <v>344</v>
      </c>
    </row>
    <row r="41" spans="1:8">
      <c r="A41" t="s">
        <v>375</v>
      </c>
    </row>
    <row r="42" spans="1:8">
      <c r="A42" t="s">
        <v>376</v>
      </c>
    </row>
    <row r="43" spans="1:8">
      <c r="A43" s="45" t="s">
        <v>377</v>
      </c>
    </row>
    <row r="44" spans="1:8">
      <c r="A44" s="45" t="s">
        <v>378</v>
      </c>
    </row>
    <row r="45" spans="1:8">
      <c r="A45" t="s">
        <v>716</v>
      </c>
    </row>
    <row r="46" spans="1:8">
      <c r="A46" s="45" t="s">
        <v>379</v>
      </c>
    </row>
    <row r="47" spans="1:8">
      <c r="A47" s="45" t="s">
        <v>717</v>
      </c>
    </row>
    <row r="48" spans="1:8">
      <c r="A48" s="45" t="s">
        <v>380</v>
      </c>
    </row>
    <row r="50" spans="1:3">
      <c r="A50" t="s">
        <v>343</v>
      </c>
    </row>
    <row r="51" spans="1:3">
      <c r="A51" s="51" t="s">
        <v>259</v>
      </c>
      <c r="B51" s="51" t="s">
        <v>715</v>
      </c>
    </row>
    <row r="52" spans="1:3">
      <c r="A52" t="s">
        <v>335</v>
      </c>
      <c r="B52" s="95">
        <v>1</v>
      </c>
    </row>
    <row r="53" spans="1:3">
      <c r="A53" t="s">
        <v>336</v>
      </c>
      <c r="B53" s="95">
        <v>0.75</v>
      </c>
    </row>
    <row r="54" spans="1:3">
      <c r="A54" t="s">
        <v>337</v>
      </c>
      <c r="B54" s="95">
        <v>0.55000000000000004</v>
      </c>
    </row>
    <row r="55" spans="1:3">
      <c r="A55" t="s">
        <v>338</v>
      </c>
      <c r="B55" s="95">
        <v>0.41</v>
      </c>
    </row>
    <row r="56" spans="1:3">
      <c r="A56" t="s">
        <v>339</v>
      </c>
      <c r="B56" s="95">
        <v>0.3</v>
      </c>
    </row>
    <row r="57" spans="1:3">
      <c r="A57" t="s">
        <v>340</v>
      </c>
      <c r="B57" s="95">
        <v>0.22</v>
      </c>
    </row>
    <row r="59" spans="1:3">
      <c r="A59" t="s">
        <v>721</v>
      </c>
    </row>
    <row r="60" spans="1:3">
      <c r="A60" s="6" t="s">
        <v>262</v>
      </c>
    </row>
    <row r="61" spans="1:3">
      <c r="A61" s="6"/>
    </row>
    <row r="62" spans="1:3">
      <c r="A62" s="13" t="s">
        <v>384</v>
      </c>
      <c r="B62" s="6"/>
      <c r="C62" s="6"/>
    </row>
    <row r="63" spans="1:3">
      <c r="A63" s="160" t="s">
        <v>32</v>
      </c>
      <c r="B63" s="160" t="s">
        <v>260</v>
      </c>
      <c r="C63" s="6"/>
    </row>
    <row r="64" spans="1:3">
      <c r="A64" s="13" t="s">
        <v>25</v>
      </c>
      <c r="B64" s="163">
        <v>322.89999999999998</v>
      </c>
      <c r="C64" s="6"/>
    </row>
    <row r="65" spans="1:3">
      <c r="A65" s="13" t="s">
        <v>26</v>
      </c>
      <c r="B65" s="163">
        <v>231.5</v>
      </c>
      <c r="C65" s="6"/>
    </row>
    <row r="66" spans="1:3">
      <c r="A66" s="13" t="s">
        <v>33</v>
      </c>
      <c r="B66" s="163">
        <v>104.8</v>
      </c>
      <c r="C66" s="6"/>
    </row>
    <row r="67" spans="1:3">
      <c r="A67" s="13" t="s">
        <v>254</v>
      </c>
      <c r="B67" s="163">
        <v>50</v>
      </c>
      <c r="C67" s="6"/>
    </row>
    <row r="68" spans="1:3">
      <c r="A68" s="13" t="s">
        <v>58</v>
      </c>
      <c r="B68" s="163">
        <v>70.7</v>
      </c>
      <c r="C68" s="6"/>
    </row>
    <row r="69" spans="1:3">
      <c r="A69" s="13" t="s">
        <v>255</v>
      </c>
      <c r="B69" s="163">
        <v>40.5</v>
      </c>
      <c r="C69" s="6"/>
    </row>
    <row r="70" spans="1:3">
      <c r="A70" s="13" t="s">
        <v>256</v>
      </c>
      <c r="B70" s="163">
        <v>59.7</v>
      </c>
      <c r="C70" s="6"/>
    </row>
    <row r="71" spans="1:3">
      <c r="A71" s="13" t="s">
        <v>29</v>
      </c>
      <c r="B71" s="163">
        <v>56.2</v>
      </c>
      <c r="C71" s="6"/>
    </row>
    <row r="72" spans="1:3">
      <c r="A72" s="13" t="s">
        <v>45</v>
      </c>
      <c r="B72" s="163">
        <v>74</v>
      </c>
      <c r="C72" s="6"/>
    </row>
    <row r="73" spans="1:3">
      <c r="A73" s="13" t="s">
        <v>257</v>
      </c>
      <c r="B73" s="163">
        <v>44.5</v>
      </c>
      <c r="C73" s="6"/>
    </row>
    <row r="74" spans="1:3">
      <c r="A74" s="13" t="s">
        <v>258</v>
      </c>
      <c r="B74" s="163">
        <v>20.2</v>
      </c>
      <c r="C74" s="6"/>
    </row>
    <row r="75" spans="1:3">
      <c r="A75" s="13" t="s">
        <v>56</v>
      </c>
      <c r="B75" s="163">
        <v>14.4</v>
      </c>
      <c r="C75" s="6"/>
    </row>
    <row r="76" spans="1:3">
      <c r="A76" s="13" t="s">
        <v>261</v>
      </c>
      <c r="B76" s="163">
        <v>340.5</v>
      </c>
      <c r="C76" s="6"/>
    </row>
    <row r="77" spans="1:3">
      <c r="A77" s="161" t="s">
        <v>30</v>
      </c>
      <c r="B77" s="164">
        <v>1429.9</v>
      </c>
      <c r="C77" s="6"/>
    </row>
    <row r="78" spans="1:3">
      <c r="A78" s="13" t="s">
        <v>7</v>
      </c>
      <c r="B78" s="159" t="s">
        <v>7</v>
      </c>
      <c r="C78" s="6"/>
    </row>
    <row r="79" spans="1:3">
      <c r="A79" s="14" t="s">
        <v>714</v>
      </c>
      <c r="B79" s="13"/>
      <c r="C79" s="6"/>
    </row>
    <row r="80" spans="1:3">
      <c r="A80" s="14" t="s">
        <v>345</v>
      </c>
    </row>
    <row r="82" spans="1:17">
      <c r="B82" s="576" t="s">
        <v>707</v>
      </c>
      <c r="C82" s="576"/>
      <c r="D82" s="576"/>
      <c r="E82" s="576"/>
      <c r="F82" s="576" t="s">
        <v>723</v>
      </c>
      <c r="G82" s="576"/>
      <c r="H82" s="576"/>
      <c r="I82" s="576"/>
      <c r="J82" s="576"/>
      <c r="K82" s="576"/>
      <c r="L82" s="576" t="s">
        <v>719</v>
      </c>
      <c r="M82" s="576"/>
      <c r="N82" s="576"/>
      <c r="O82" s="576"/>
    </row>
    <row r="83" spans="1:17">
      <c r="B83" s="75" t="s">
        <v>701</v>
      </c>
      <c r="C83" s="75" t="s">
        <v>700</v>
      </c>
      <c r="D83" s="75" t="s">
        <v>699</v>
      </c>
      <c r="E83" s="75" t="s">
        <v>698</v>
      </c>
      <c r="F83" s="82" t="s">
        <v>708</v>
      </c>
      <c r="G83" s="75" t="s">
        <v>709</v>
      </c>
      <c r="H83" s="75" t="s">
        <v>710</v>
      </c>
      <c r="I83" s="75" t="s">
        <v>711</v>
      </c>
      <c r="J83" s="75" t="s">
        <v>712</v>
      </c>
      <c r="K83" s="75" t="s">
        <v>713</v>
      </c>
      <c r="L83" s="82" t="s">
        <v>701</v>
      </c>
      <c r="M83" s="75" t="s">
        <v>700</v>
      </c>
      <c r="N83" s="75" t="s">
        <v>699</v>
      </c>
      <c r="O83" s="75" t="s">
        <v>698</v>
      </c>
      <c r="P83" s="75" t="s">
        <v>718</v>
      </c>
    </row>
    <row r="84" spans="1:17">
      <c r="A84" s="11" t="s">
        <v>25</v>
      </c>
      <c r="B84" s="5">
        <f t="shared" ref="B84:B95" si="0">B64*1000000/4</f>
        <v>80725000</v>
      </c>
      <c r="C84" s="5">
        <f t="shared" ref="C84:C95" si="1">B64*1000000/4</f>
        <v>80725000</v>
      </c>
      <c r="D84" s="5">
        <f t="shared" ref="D84:D95" si="2">B64*1000000/4</f>
        <v>80725000</v>
      </c>
      <c r="E84" s="5">
        <f t="shared" ref="E84:E95" si="3">B64*1000000/4</f>
        <v>80725000</v>
      </c>
      <c r="F84" s="97">
        <f>$B$52*2500000</f>
        <v>2500000</v>
      </c>
      <c r="G84" s="96">
        <f>$B$53*3750000</f>
        <v>2812500</v>
      </c>
      <c r="H84" s="96">
        <f>$B$54*6250000</f>
        <v>3437500.0000000005</v>
      </c>
      <c r="I84" s="96">
        <f>$B$55*12500000</f>
        <v>5125000</v>
      </c>
      <c r="J84" s="96">
        <f>$B$56*25000000</f>
        <v>7500000</v>
      </c>
      <c r="K84" s="96">
        <f>$B$57*(B84-50000000)</f>
        <v>6759500</v>
      </c>
      <c r="L84" s="97">
        <f>SUM(F84:K84)</f>
        <v>28134500</v>
      </c>
      <c r="M84" s="96">
        <f>L84</f>
        <v>28134500</v>
      </c>
      <c r="N84" s="96">
        <f>L84</f>
        <v>28134500</v>
      </c>
      <c r="O84" s="96">
        <f>L84</f>
        <v>28134500</v>
      </c>
      <c r="P84" s="96">
        <f>SUM(L84:O84)</f>
        <v>112538000</v>
      </c>
      <c r="Q84" s="5" t="s">
        <v>7</v>
      </c>
    </row>
    <row r="85" spans="1:17">
      <c r="A85" s="11" t="s">
        <v>26</v>
      </c>
      <c r="B85" s="5">
        <f t="shared" si="0"/>
        <v>57875000</v>
      </c>
      <c r="C85" s="5">
        <f t="shared" si="1"/>
        <v>57875000</v>
      </c>
      <c r="D85" s="5">
        <f t="shared" si="2"/>
        <v>57875000</v>
      </c>
      <c r="E85" s="5">
        <f t="shared" si="3"/>
        <v>57875000</v>
      </c>
      <c r="F85" s="97">
        <f t="shared" ref="F85:F90" si="4">1*2500000</f>
        <v>2500000</v>
      </c>
      <c r="G85" s="96">
        <f t="shared" ref="G85:G90" si="5">0.75*3750000</f>
        <v>2812500</v>
      </c>
      <c r="H85" s="96">
        <f>0.55*6250000</f>
        <v>3437500.0000000005</v>
      </c>
      <c r="I85" s="96">
        <f>0.41*12500000</f>
        <v>5125000</v>
      </c>
      <c r="J85" s="96">
        <f>0.3*25000000</f>
        <v>7500000</v>
      </c>
      <c r="K85" s="96">
        <f>0.22*(B85-50000000)</f>
        <v>1732500</v>
      </c>
      <c r="L85" s="97">
        <f t="shared" ref="L85:L119" si="6">SUM(F85:K85)</f>
        <v>23107500</v>
      </c>
      <c r="M85" s="96">
        <f t="shared" ref="M85:M119" si="7">L85</f>
        <v>23107500</v>
      </c>
      <c r="N85" s="96">
        <f t="shared" ref="N85:N119" si="8">L85</f>
        <v>23107500</v>
      </c>
      <c r="O85" s="96">
        <f t="shared" ref="O85:O119" si="9">L85</f>
        <v>23107500</v>
      </c>
      <c r="P85" s="96">
        <f>SUM(L85:O85)</f>
        <v>92430000</v>
      </c>
    </row>
    <row r="86" spans="1:17">
      <c r="A86" s="13" t="s">
        <v>33</v>
      </c>
      <c r="B86" s="5">
        <f t="shared" si="0"/>
        <v>26200000</v>
      </c>
      <c r="C86" s="5">
        <f t="shared" si="1"/>
        <v>26200000</v>
      </c>
      <c r="D86" s="5">
        <f t="shared" si="2"/>
        <v>26200000</v>
      </c>
      <c r="E86" s="5">
        <f t="shared" si="3"/>
        <v>26200000</v>
      </c>
      <c r="F86" s="97">
        <f t="shared" si="4"/>
        <v>2500000</v>
      </c>
      <c r="G86" s="96">
        <f t="shared" si="5"/>
        <v>2812500</v>
      </c>
      <c r="H86" s="96">
        <f>0.55*6250000</f>
        <v>3437500.0000000005</v>
      </c>
      <c r="I86" s="96">
        <f>0.41*12500000</f>
        <v>5125000</v>
      </c>
      <c r="J86" s="96">
        <f>0.3*(B86-25000000)</f>
        <v>360000</v>
      </c>
      <c r="K86" s="96">
        <v>0</v>
      </c>
      <c r="L86" s="97">
        <f t="shared" si="6"/>
        <v>14235000</v>
      </c>
      <c r="M86" s="96">
        <f t="shared" si="7"/>
        <v>14235000</v>
      </c>
      <c r="N86" s="96">
        <f t="shared" si="8"/>
        <v>14235000</v>
      </c>
      <c r="O86" s="96">
        <f t="shared" si="9"/>
        <v>14235000</v>
      </c>
      <c r="P86" s="96">
        <f>SUM(L86:O86)</f>
        <v>56940000</v>
      </c>
      <c r="Q86" s="1" t="s">
        <v>7</v>
      </c>
    </row>
    <row r="87" spans="1:17">
      <c r="A87" s="13" t="s">
        <v>254</v>
      </c>
      <c r="B87" s="5">
        <f t="shared" si="0"/>
        <v>12500000</v>
      </c>
      <c r="C87" s="5">
        <f t="shared" si="1"/>
        <v>12500000</v>
      </c>
      <c r="D87" s="5">
        <f t="shared" si="2"/>
        <v>12500000</v>
      </c>
      <c r="E87" s="5">
        <f t="shared" si="3"/>
        <v>12500000</v>
      </c>
      <c r="F87" s="97">
        <f t="shared" si="4"/>
        <v>2500000</v>
      </c>
      <c r="G87" s="96">
        <f t="shared" si="5"/>
        <v>2812500</v>
      </c>
      <c r="H87" s="96">
        <f>0.55*6250000</f>
        <v>3437500.0000000005</v>
      </c>
      <c r="I87" s="96">
        <v>0</v>
      </c>
      <c r="J87" s="96">
        <v>0</v>
      </c>
      <c r="K87" s="96">
        <v>0</v>
      </c>
      <c r="L87" s="97">
        <f t="shared" si="6"/>
        <v>8750000</v>
      </c>
      <c r="M87" s="96">
        <f t="shared" si="7"/>
        <v>8750000</v>
      </c>
      <c r="N87" s="96">
        <f t="shared" si="8"/>
        <v>8750000</v>
      </c>
      <c r="O87" s="96">
        <f t="shared" si="9"/>
        <v>8750000</v>
      </c>
      <c r="P87" s="96">
        <f>SUM(L87:O87)</f>
        <v>35000000</v>
      </c>
    </row>
    <row r="88" spans="1:17">
      <c r="A88" s="11" t="s">
        <v>58</v>
      </c>
      <c r="B88" s="5">
        <f t="shared" si="0"/>
        <v>17675000</v>
      </c>
      <c r="C88" s="5">
        <f t="shared" si="1"/>
        <v>17675000</v>
      </c>
      <c r="D88" s="5">
        <f t="shared" si="2"/>
        <v>17675000</v>
      </c>
      <c r="E88" s="5">
        <f t="shared" si="3"/>
        <v>17675000</v>
      </c>
      <c r="F88" s="97">
        <f t="shared" si="4"/>
        <v>2500000</v>
      </c>
      <c r="G88" s="96">
        <f t="shared" si="5"/>
        <v>2812500</v>
      </c>
      <c r="H88" s="96">
        <f>0.55*6250000</f>
        <v>3437500.0000000005</v>
      </c>
      <c r="I88" s="96">
        <f>0.41*(B88-12500000)</f>
        <v>2121750</v>
      </c>
      <c r="J88" s="96">
        <v>0</v>
      </c>
      <c r="K88" s="96">
        <v>0</v>
      </c>
      <c r="L88" s="97">
        <f t="shared" si="6"/>
        <v>10871750</v>
      </c>
      <c r="M88" s="96">
        <f t="shared" si="7"/>
        <v>10871750</v>
      </c>
      <c r="N88" s="96">
        <f t="shared" si="8"/>
        <v>10871750</v>
      </c>
      <c r="O88" s="96">
        <f t="shared" si="9"/>
        <v>10871750</v>
      </c>
      <c r="P88" s="96">
        <f t="shared" ref="P88:P119" si="10">SUM(L88:O88)</f>
        <v>43487000</v>
      </c>
    </row>
    <row r="89" spans="1:17">
      <c r="A89" s="11" t="s">
        <v>255</v>
      </c>
      <c r="B89" s="5">
        <f t="shared" si="0"/>
        <v>10125000</v>
      </c>
      <c r="C89" s="5">
        <f t="shared" si="1"/>
        <v>10125000</v>
      </c>
      <c r="D89" s="5">
        <f t="shared" si="2"/>
        <v>10125000</v>
      </c>
      <c r="E89" s="5">
        <f t="shared" si="3"/>
        <v>10125000</v>
      </c>
      <c r="F89" s="97">
        <f t="shared" si="4"/>
        <v>2500000</v>
      </c>
      <c r="G89" s="96">
        <f t="shared" si="5"/>
        <v>2812500</v>
      </c>
      <c r="H89" s="96">
        <f>0.55*(B89-6250000)</f>
        <v>2131250</v>
      </c>
      <c r="I89" s="96">
        <v>0</v>
      </c>
      <c r="J89" s="96">
        <v>0</v>
      </c>
      <c r="K89" s="96">
        <v>0</v>
      </c>
      <c r="L89" s="97">
        <f t="shared" si="6"/>
        <v>7443750</v>
      </c>
      <c r="M89" s="96">
        <f t="shared" si="7"/>
        <v>7443750</v>
      </c>
      <c r="N89" s="96">
        <f t="shared" si="8"/>
        <v>7443750</v>
      </c>
      <c r="O89" s="96">
        <f t="shared" si="9"/>
        <v>7443750</v>
      </c>
      <c r="P89" s="96">
        <f t="shared" si="10"/>
        <v>29775000</v>
      </c>
    </row>
    <row r="90" spans="1:17">
      <c r="A90" s="11" t="s">
        <v>256</v>
      </c>
      <c r="B90" s="5">
        <f t="shared" si="0"/>
        <v>14925000</v>
      </c>
      <c r="C90" s="5">
        <f t="shared" si="1"/>
        <v>14925000</v>
      </c>
      <c r="D90" s="5">
        <f t="shared" si="2"/>
        <v>14925000</v>
      </c>
      <c r="E90" s="5">
        <f t="shared" si="3"/>
        <v>14925000</v>
      </c>
      <c r="F90" s="97">
        <f t="shared" si="4"/>
        <v>2500000</v>
      </c>
      <c r="G90" s="96">
        <f t="shared" si="5"/>
        <v>2812500</v>
      </c>
      <c r="H90" s="96">
        <f>0.55*6250000</f>
        <v>3437500.0000000005</v>
      </c>
      <c r="I90" s="96">
        <f>0.41*(B90-12500000)</f>
        <v>994249.99999999988</v>
      </c>
      <c r="J90" s="96">
        <v>0</v>
      </c>
      <c r="K90" s="96">
        <v>0</v>
      </c>
      <c r="L90" s="97">
        <f t="shared" si="6"/>
        <v>9744250</v>
      </c>
      <c r="M90" s="96">
        <f t="shared" si="7"/>
        <v>9744250</v>
      </c>
      <c r="N90" s="96">
        <f t="shared" si="8"/>
        <v>9744250</v>
      </c>
      <c r="O90" s="96">
        <f t="shared" si="9"/>
        <v>9744250</v>
      </c>
      <c r="P90" s="96">
        <f t="shared" si="10"/>
        <v>38977000</v>
      </c>
    </row>
    <row r="91" spans="1:17">
      <c r="A91" s="11" t="s">
        <v>29</v>
      </c>
      <c r="B91" s="5">
        <f t="shared" si="0"/>
        <v>14050000</v>
      </c>
      <c r="C91" s="5">
        <f t="shared" si="1"/>
        <v>14050000</v>
      </c>
      <c r="D91" s="5">
        <f t="shared" si="2"/>
        <v>14050000</v>
      </c>
      <c r="E91" s="5">
        <f t="shared" si="3"/>
        <v>14050000</v>
      </c>
      <c r="F91" s="97">
        <f t="shared" ref="F91:F92" si="11">1*2500000</f>
        <v>2500000</v>
      </c>
      <c r="G91" s="96">
        <f t="shared" ref="G91:G92" si="12">0.75*3750000</f>
        <v>2812500</v>
      </c>
      <c r="H91" s="96">
        <f t="shared" ref="H91:H92" si="13">0.55*6250000</f>
        <v>3437500.0000000005</v>
      </c>
      <c r="I91" s="96">
        <f t="shared" ref="I91:I92" si="14">0.41*(B91-12500000)</f>
        <v>635500</v>
      </c>
      <c r="J91" s="96">
        <v>0</v>
      </c>
      <c r="K91" s="96">
        <v>0</v>
      </c>
      <c r="L91" s="97">
        <f t="shared" si="6"/>
        <v>9385500</v>
      </c>
      <c r="M91" s="96">
        <f t="shared" si="7"/>
        <v>9385500</v>
      </c>
      <c r="N91" s="96">
        <f t="shared" si="8"/>
        <v>9385500</v>
      </c>
      <c r="O91" s="96">
        <f t="shared" si="9"/>
        <v>9385500</v>
      </c>
      <c r="P91" s="96">
        <f t="shared" si="10"/>
        <v>37542000</v>
      </c>
    </row>
    <row r="92" spans="1:17">
      <c r="A92" s="11" t="s">
        <v>45</v>
      </c>
      <c r="B92" s="5">
        <f t="shared" si="0"/>
        <v>18500000</v>
      </c>
      <c r="C92" s="5">
        <f t="shared" si="1"/>
        <v>18500000</v>
      </c>
      <c r="D92" s="5">
        <f t="shared" si="2"/>
        <v>18500000</v>
      </c>
      <c r="E92" s="5">
        <f t="shared" si="3"/>
        <v>18500000</v>
      </c>
      <c r="F92" s="97">
        <f t="shared" si="11"/>
        <v>2500000</v>
      </c>
      <c r="G92" s="96">
        <f t="shared" si="12"/>
        <v>2812500</v>
      </c>
      <c r="H92" s="96">
        <f t="shared" si="13"/>
        <v>3437500.0000000005</v>
      </c>
      <c r="I92" s="96">
        <f t="shared" si="14"/>
        <v>2460000</v>
      </c>
      <c r="J92" s="96">
        <v>0</v>
      </c>
      <c r="K92" s="96">
        <v>0</v>
      </c>
      <c r="L92" s="97">
        <f t="shared" si="6"/>
        <v>11210000</v>
      </c>
      <c r="M92" s="96">
        <f t="shared" si="7"/>
        <v>11210000</v>
      </c>
      <c r="N92" s="96">
        <f t="shared" si="8"/>
        <v>11210000</v>
      </c>
      <c r="O92" s="96">
        <f t="shared" si="9"/>
        <v>11210000</v>
      </c>
      <c r="P92" s="96">
        <f t="shared" si="10"/>
        <v>44840000</v>
      </c>
    </row>
    <row r="93" spans="1:17">
      <c r="A93" s="11" t="s">
        <v>257</v>
      </c>
      <c r="B93" s="5">
        <f t="shared" si="0"/>
        <v>11125000</v>
      </c>
      <c r="C93" s="5">
        <f t="shared" si="1"/>
        <v>11125000</v>
      </c>
      <c r="D93" s="5">
        <f t="shared" si="2"/>
        <v>11125000</v>
      </c>
      <c r="E93" s="5">
        <f t="shared" si="3"/>
        <v>11125000</v>
      </c>
      <c r="F93" s="97">
        <f>1*2500000</f>
        <v>2500000</v>
      </c>
      <c r="G93" s="96">
        <f>0.75*3750000</f>
        <v>2812500</v>
      </c>
      <c r="H93" s="96">
        <f>0.55*(B93-6250000)</f>
        <v>2681250</v>
      </c>
      <c r="I93" s="96">
        <v>0</v>
      </c>
      <c r="J93" s="96">
        <v>0</v>
      </c>
      <c r="K93" s="96">
        <v>0</v>
      </c>
      <c r="L93" s="97">
        <f t="shared" si="6"/>
        <v>7993750</v>
      </c>
      <c r="M93" s="96">
        <f t="shared" si="7"/>
        <v>7993750</v>
      </c>
      <c r="N93" s="96">
        <f t="shared" si="8"/>
        <v>7993750</v>
      </c>
      <c r="O93" s="96">
        <f t="shared" si="9"/>
        <v>7993750</v>
      </c>
      <c r="P93" s="96">
        <f t="shared" si="10"/>
        <v>31975000</v>
      </c>
    </row>
    <row r="94" spans="1:17">
      <c r="A94" s="11" t="s">
        <v>258</v>
      </c>
      <c r="B94" s="5">
        <f t="shared" si="0"/>
        <v>5050000</v>
      </c>
      <c r="C94" s="5">
        <f t="shared" si="1"/>
        <v>5050000</v>
      </c>
      <c r="D94" s="5">
        <f t="shared" si="2"/>
        <v>5050000</v>
      </c>
      <c r="E94" s="5">
        <f t="shared" si="3"/>
        <v>5050000</v>
      </c>
      <c r="F94" s="97">
        <f t="shared" ref="F94:F119" si="15">1*2500000</f>
        <v>2500000</v>
      </c>
      <c r="G94" s="96">
        <f>0.75*(B94-2500000)</f>
        <v>1912500</v>
      </c>
      <c r="H94" s="96">
        <v>0</v>
      </c>
      <c r="I94" s="96">
        <v>0</v>
      </c>
      <c r="J94" s="96">
        <v>0</v>
      </c>
      <c r="K94" s="96">
        <v>0</v>
      </c>
      <c r="L94" s="97">
        <f t="shared" si="6"/>
        <v>4412500</v>
      </c>
      <c r="M94" s="96">
        <f t="shared" si="7"/>
        <v>4412500</v>
      </c>
      <c r="N94" s="96">
        <f t="shared" si="8"/>
        <v>4412500</v>
      </c>
      <c r="O94" s="96">
        <f t="shared" si="9"/>
        <v>4412500</v>
      </c>
      <c r="P94" s="96">
        <f t="shared" si="10"/>
        <v>17650000</v>
      </c>
    </row>
    <row r="95" spans="1:17">
      <c r="A95" s="11" t="s">
        <v>56</v>
      </c>
      <c r="B95" s="5">
        <f t="shared" si="0"/>
        <v>3600000</v>
      </c>
      <c r="C95" s="5">
        <f t="shared" si="1"/>
        <v>3600000</v>
      </c>
      <c r="D95" s="5">
        <f t="shared" si="2"/>
        <v>3600000</v>
      </c>
      <c r="E95" s="5">
        <f t="shared" si="3"/>
        <v>3600000</v>
      </c>
      <c r="F95" s="97">
        <f t="shared" si="15"/>
        <v>2500000</v>
      </c>
      <c r="G95" s="96">
        <f t="shared" ref="G95:G119" si="16">0.75*(B95-2500000)</f>
        <v>825000</v>
      </c>
      <c r="H95" s="96">
        <v>0</v>
      </c>
      <c r="I95" s="96">
        <v>0</v>
      </c>
      <c r="J95" s="96">
        <v>0</v>
      </c>
      <c r="K95" s="96">
        <v>0</v>
      </c>
      <c r="L95" s="97">
        <f t="shared" si="6"/>
        <v>3325000</v>
      </c>
      <c r="M95" s="96">
        <f t="shared" si="7"/>
        <v>3325000</v>
      </c>
      <c r="N95" s="96">
        <f t="shared" si="8"/>
        <v>3325000</v>
      </c>
      <c r="O95" s="96">
        <f t="shared" si="9"/>
        <v>3325000</v>
      </c>
      <c r="P95" s="96">
        <f t="shared" si="10"/>
        <v>13300000</v>
      </c>
    </row>
    <row r="96" spans="1:17">
      <c r="A96" s="11" t="s">
        <v>346</v>
      </c>
      <c r="B96" s="5">
        <v>3546875</v>
      </c>
      <c r="C96" s="5">
        <v>3546875</v>
      </c>
      <c r="D96" s="5">
        <v>3546875</v>
      </c>
      <c r="E96" s="5">
        <v>3546875</v>
      </c>
      <c r="F96" s="97">
        <f t="shared" si="15"/>
        <v>2500000</v>
      </c>
      <c r="G96" s="96">
        <f t="shared" si="16"/>
        <v>785156.25</v>
      </c>
      <c r="H96" s="96">
        <v>0</v>
      </c>
      <c r="I96" s="96">
        <v>0</v>
      </c>
      <c r="J96" s="96">
        <v>0</v>
      </c>
      <c r="K96" s="96">
        <v>0</v>
      </c>
      <c r="L96" s="97">
        <f t="shared" si="6"/>
        <v>3285156.25</v>
      </c>
      <c r="M96" s="96">
        <f t="shared" si="7"/>
        <v>3285156.25</v>
      </c>
      <c r="N96" s="96">
        <f t="shared" si="8"/>
        <v>3285156.25</v>
      </c>
      <c r="O96" s="96">
        <f t="shared" si="9"/>
        <v>3285156.25</v>
      </c>
      <c r="P96" s="96">
        <f t="shared" si="10"/>
        <v>13140625</v>
      </c>
    </row>
    <row r="97" spans="1:16">
      <c r="A97" s="15" t="s">
        <v>347</v>
      </c>
      <c r="B97" s="5">
        <v>3546875</v>
      </c>
      <c r="C97" s="5">
        <v>3546875</v>
      </c>
      <c r="D97" s="5">
        <v>3546875</v>
      </c>
      <c r="E97" s="5">
        <v>3546875</v>
      </c>
      <c r="F97" s="97">
        <f t="shared" si="15"/>
        <v>2500000</v>
      </c>
      <c r="G97" s="96">
        <f t="shared" si="16"/>
        <v>785156.25</v>
      </c>
      <c r="H97" s="96">
        <v>0</v>
      </c>
      <c r="I97" s="96">
        <v>0</v>
      </c>
      <c r="J97" s="96">
        <v>0</v>
      </c>
      <c r="K97" s="96">
        <v>0</v>
      </c>
      <c r="L97" s="97">
        <f t="shared" si="6"/>
        <v>3285156.25</v>
      </c>
      <c r="M97" s="96">
        <f t="shared" si="7"/>
        <v>3285156.25</v>
      </c>
      <c r="N97" s="96">
        <f t="shared" si="8"/>
        <v>3285156.25</v>
      </c>
      <c r="O97" s="96">
        <f t="shared" si="9"/>
        <v>3285156.25</v>
      </c>
      <c r="P97" s="96">
        <f t="shared" si="10"/>
        <v>13140625</v>
      </c>
    </row>
    <row r="98" spans="1:16">
      <c r="A98" s="15" t="s">
        <v>348</v>
      </c>
      <c r="B98" s="5">
        <v>3546875</v>
      </c>
      <c r="C98" s="5">
        <v>3546875</v>
      </c>
      <c r="D98" s="5">
        <v>3546875</v>
      </c>
      <c r="E98" s="5">
        <v>3546875</v>
      </c>
      <c r="F98" s="97">
        <f t="shared" si="15"/>
        <v>2500000</v>
      </c>
      <c r="G98" s="96">
        <f t="shared" si="16"/>
        <v>785156.25</v>
      </c>
      <c r="H98" s="96">
        <v>0</v>
      </c>
      <c r="I98" s="96">
        <v>0</v>
      </c>
      <c r="J98" s="96">
        <v>0</v>
      </c>
      <c r="K98" s="96">
        <v>0</v>
      </c>
      <c r="L98" s="97">
        <f t="shared" si="6"/>
        <v>3285156.25</v>
      </c>
      <c r="M98" s="96">
        <f t="shared" si="7"/>
        <v>3285156.25</v>
      </c>
      <c r="N98" s="96">
        <f t="shared" si="8"/>
        <v>3285156.25</v>
      </c>
      <c r="O98" s="96">
        <f t="shared" si="9"/>
        <v>3285156.25</v>
      </c>
      <c r="P98" s="96">
        <f t="shared" si="10"/>
        <v>13140625</v>
      </c>
    </row>
    <row r="99" spans="1:16">
      <c r="A99" s="15" t="s">
        <v>349</v>
      </c>
      <c r="B99" s="5">
        <v>3546875</v>
      </c>
      <c r="C99" s="5">
        <v>3546875</v>
      </c>
      <c r="D99" s="5">
        <v>3546875</v>
      </c>
      <c r="E99" s="5">
        <v>3546875</v>
      </c>
      <c r="F99" s="97">
        <f t="shared" si="15"/>
        <v>2500000</v>
      </c>
      <c r="G99" s="96">
        <f t="shared" si="16"/>
        <v>785156.25</v>
      </c>
      <c r="H99" s="96">
        <v>0</v>
      </c>
      <c r="I99" s="96">
        <v>0</v>
      </c>
      <c r="J99" s="96">
        <v>0</v>
      </c>
      <c r="K99" s="96">
        <v>0</v>
      </c>
      <c r="L99" s="97">
        <f t="shared" si="6"/>
        <v>3285156.25</v>
      </c>
      <c r="M99" s="96">
        <f t="shared" si="7"/>
        <v>3285156.25</v>
      </c>
      <c r="N99" s="96">
        <f t="shared" si="8"/>
        <v>3285156.25</v>
      </c>
      <c r="O99" s="96">
        <f t="shared" si="9"/>
        <v>3285156.25</v>
      </c>
      <c r="P99" s="96">
        <f t="shared" si="10"/>
        <v>13140625</v>
      </c>
    </row>
    <row r="100" spans="1:16">
      <c r="A100" s="15" t="s">
        <v>350</v>
      </c>
      <c r="B100" s="5">
        <v>3546875</v>
      </c>
      <c r="C100" s="5">
        <v>3546875</v>
      </c>
      <c r="D100" s="5">
        <v>3546875</v>
      </c>
      <c r="E100" s="5">
        <v>3546875</v>
      </c>
      <c r="F100" s="97">
        <f t="shared" si="15"/>
        <v>2500000</v>
      </c>
      <c r="G100" s="96">
        <f t="shared" si="16"/>
        <v>785156.25</v>
      </c>
      <c r="H100" s="96">
        <v>0</v>
      </c>
      <c r="I100" s="96">
        <v>0</v>
      </c>
      <c r="J100" s="96">
        <v>0</v>
      </c>
      <c r="K100" s="96">
        <v>0</v>
      </c>
      <c r="L100" s="97">
        <f t="shared" si="6"/>
        <v>3285156.25</v>
      </c>
      <c r="M100" s="96">
        <f t="shared" si="7"/>
        <v>3285156.25</v>
      </c>
      <c r="N100" s="96">
        <f t="shared" si="8"/>
        <v>3285156.25</v>
      </c>
      <c r="O100" s="96">
        <f t="shared" si="9"/>
        <v>3285156.25</v>
      </c>
      <c r="P100" s="96">
        <f t="shared" si="10"/>
        <v>13140625</v>
      </c>
    </row>
    <row r="101" spans="1:16">
      <c r="A101" s="15" t="s">
        <v>351</v>
      </c>
      <c r="B101" s="5">
        <v>3546875</v>
      </c>
      <c r="C101" s="5">
        <v>3546875</v>
      </c>
      <c r="D101" s="5">
        <v>3546875</v>
      </c>
      <c r="E101" s="5">
        <v>3546875</v>
      </c>
      <c r="F101" s="97">
        <f t="shared" si="15"/>
        <v>2500000</v>
      </c>
      <c r="G101" s="96">
        <f t="shared" si="16"/>
        <v>785156.25</v>
      </c>
      <c r="H101" s="96">
        <v>0</v>
      </c>
      <c r="I101" s="96">
        <v>0</v>
      </c>
      <c r="J101" s="96">
        <v>0</v>
      </c>
      <c r="K101" s="96">
        <v>0</v>
      </c>
      <c r="L101" s="97">
        <f t="shared" si="6"/>
        <v>3285156.25</v>
      </c>
      <c r="M101" s="96">
        <f t="shared" si="7"/>
        <v>3285156.25</v>
      </c>
      <c r="N101" s="96">
        <f t="shared" si="8"/>
        <v>3285156.25</v>
      </c>
      <c r="O101" s="96">
        <f t="shared" si="9"/>
        <v>3285156.25</v>
      </c>
      <c r="P101" s="96">
        <f t="shared" si="10"/>
        <v>13140625</v>
      </c>
    </row>
    <row r="102" spans="1:16">
      <c r="A102" s="15" t="s">
        <v>352</v>
      </c>
      <c r="B102" s="5">
        <v>3546875</v>
      </c>
      <c r="C102" s="5">
        <v>3546875</v>
      </c>
      <c r="D102" s="5">
        <v>3546875</v>
      </c>
      <c r="E102" s="5">
        <v>3546875</v>
      </c>
      <c r="F102" s="97">
        <f t="shared" si="15"/>
        <v>2500000</v>
      </c>
      <c r="G102" s="96">
        <f t="shared" si="16"/>
        <v>785156.25</v>
      </c>
      <c r="H102" s="96">
        <v>0</v>
      </c>
      <c r="I102" s="96">
        <v>0</v>
      </c>
      <c r="J102" s="96">
        <v>0</v>
      </c>
      <c r="K102" s="96">
        <v>0</v>
      </c>
      <c r="L102" s="97">
        <f t="shared" si="6"/>
        <v>3285156.25</v>
      </c>
      <c r="M102" s="96">
        <f t="shared" si="7"/>
        <v>3285156.25</v>
      </c>
      <c r="N102" s="96">
        <f t="shared" si="8"/>
        <v>3285156.25</v>
      </c>
      <c r="O102" s="96">
        <f t="shared" si="9"/>
        <v>3285156.25</v>
      </c>
      <c r="P102" s="96">
        <f t="shared" si="10"/>
        <v>13140625</v>
      </c>
    </row>
    <row r="103" spans="1:16">
      <c r="A103" s="15" t="s">
        <v>353</v>
      </c>
      <c r="B103" s="5">
        <v>3546875</v>
      </c>
      <c r="C103" s="5">
        <v>3546875</v>
      </c>
      <c r="D103" s="5">
        <v>3546875</v>
      </c>
      <c r="E103" s="5">
        <v>3546875</v>
      </c>
      <c r="F103" s="97">
        <f t="shared" si="15"/>
        <v>2500000</v>
      </c>
      <c r="G103" s="96">
        <f t="shared" si="16"/>
        <v>785156.25</v>
      </c>
      <c r="H103" s="96">
        <v>0</v>
      </c>
      <c r="I103" s="96">
        <v>0</v>
      </c>
      <c r="J103" s="96">
        <v>0</v>
      </c>
      <c r="K103" s="96">
        <v>0</v>
      </c>
      <c r="L103" s="97">
        <f t="shared" si="6"/>
        <v>3285156.25</v>
      </c>
      <c r="M103" s="96">
        <f t="shared" si="7"/>
        <v>3285156.25</v>
      </c>
      <c r="N103" s="96">
        <f t="shared" si="8"/>
        <v>3285156.25</v>
      </c>
      <c r="O103" s="96">
        <f t="shared" si="9"/>
        <v>3285156.25</v>
      </c>
      <c r="P103" s="96">
        <f t="shared" si="10"/>
        <v>13140625</v>
      </c>
    </row>
    <row r="104" spans="1:16">
      <c r="A104" s="15" t="s">
        <v>354</v>
      </c>
      <c r="B104" s="5">
        <v>3546875</v>
      </c>
      <c r="C104" s="5">
        <v>3546875</v>
      </c>
      <c r="D104" s="5">
        <v>3546875</v>
      </c>
      <c r="E104" s="5">
        <v>3546875</v>
      </c>
      <c r="F104" s="97">
        <f t="shared" si="15"/>
        <v>2500000</v>
      </c>
      <c r="G104" s="96">
        <f t="shared" si="16"/>
        <v>785156.25</v>
      </c>
      <c r="H104" s="96">
        <v>0</v>
      </c>
      <c r="I104" s="96">
        <v>0</v>
      </c>
      <c r="J104" s="96">
        <v>0</v>
      </c>
      <c r="K104" s="96">
        <v>0</v>
      </c>
      <c r="L104" s="97">
        <f t="shared" si="6"/>
        <v>3285156.25</v>
      </c>
      <c r="M104" s="96">
        <f t="shared" si="7"/>
        <v>3285156.25</v>
      </c>
      <c r="N104" s="96">
        <f t="shared" si="8"/>
        <v>3285156.25</v>
      </c>
      <c r="O104" s="96">
        <f t="shared" si="9"/>
        <v>3285156.25</v>
      </c>
      <c r="P104" s="96">
        <f t="shared" si="10"/>
        <v>13140625</v>
      </c>
    </row>
    <row r="105" spans="1:16">
      <c r="A105" s="15" t="s">
        <v>355</v>
      </c>
      <c r="B105" s="5">
        <v>3546875</v>
      </c>
      <c r="C105" s="5">
        <v>3546875</v>
      </c>
      <c r="D105" s="5">
        <v>3546875</v>
      </c>
      <c r="E105" s="5">
        <v>3546875</v>
      </c>
      <c r="F105" s="97">
        <f t="shared" si="15"/>
        <v>2500000</v>
      </c>
      <c r="G105" s="96">
        <f t="shared" si="16"/>
        <v>785156.25</v>
      </c>
      <c r="H105" s="96">
        <v>0</v>
      </c>
      <c r="I105" s="96">
        <v>0</v>
      </c>
      <c r="J105" s="96">
        <v>0</v>
      </c>
      <c r="K105" s="96">
        <v>0</v>
      </c>
      <c r="L105" s="97">
        <f t="shared" si="6"/>
        <v>3285156.25</v>
      </c>
      <c r="M105" s="96">
        <f t="shared" si="7"/>
        <v>3285156.25</v>
      </c>
      <c r="N105" s="96">
        <f t="shared" si="8"/>
        <v>3285156.25</v>
      </c>
      <c r="O105" s="96">
        <f t="shared" si="9"/>
        <v>3285156.25</v>
      </c>
      <c r="P105" s="96">
        <f t="shared" si="10"/>
        <v>13140625</v>
      </c>
    </row>
    <row r="106" spans="1:16">
      <c r="A106" s="15" t="s">
        <v>356</v>
      </c>
      <c r="B106" s="5">
        <v>3546875</v>
      </c>
      <c r="C106" s="5">
        <v>3546875</v>
      </c>
      <c r="D106" s="5">
        <v>3546875</v>
      </c>
      <c r="E106" s="5">
        <v>3546875</v>
      </c>
      <c r="F106" s="97">
        <f t="shared" si="15"/>
        <v>2500000</v>
      </c>
      <c r="G106" s="96">
        <f t="shared" si="16"/>
        <v>785156.25</v>
      </c>
      <c r="H106" s="96">
        <v>0</v>
      </c>
      <c r="I106" s="96">
        <v>0</v>
      </c>
      <c r="J106" s="96">
        <v>0</v>
      </c>
      <c r="K106" s="96">
        <v>0</v>
      </c>
      <c r="L106" s="97">
        <f t="shared" si="6"/>
        <v>3285156.25</v>
      </c>
      <c r="M106" s="96">
        <f t="shared" si="7"/>
        <v>3285156.25</v>
      </c>
      <c r="N106" s="96">
        <f t="shared" si="8"/>
        <v>3285156.25</v>
      </c>
      <c r="O106" s="96">
        <f t="shared" si="9"/>
        <v>3285156.25</v>
      </c>
      <c r="P106" s="96">
        <f t="shared" si="10"/>
        <v>13140625</v>
      </c>
    </row>
    <row r="107" spans="1:16">
      <c r="A107" s="15" t="s">
        <v>357</v>
      </c>
      <c r="B107" s="5">
        <v>3546875</v>
      </c>
      <c r="C107" s="5">
        <v>3546875</v>
      </c>
      <c r="D107" s="5">
        <v>3546875</v>
      </c>
      <c r="E107" s="5">
        <v>3546875</v>
      </c>
      <c r="F107" s="97">
        <f t="shared" si="15"/>
        <v>2500000</v>
      </c>
      <c r="G107" s="96">
        <f t="shared" si="16"/>
        <v>785156.25</v>
      </c>
      <c r="H107" s="96">
        <v>0</v>
      </c>
      <c r="I107" s="96">
        <v>0</v>
      </c>
      <c r="J107" s="96">
        <v>0</v>
      </c>
      <c r="K107" s="96">
        <v>0</v>
      </c>
      <c r="L107" s="97">
        <f t="shared" si="6"/>
        <v>3285156.25</v>
      </c>
      <c r="M107" s="96">
        <f t="shared" si="7"/>
        <v>3285156.25</v>
      </c>
      <c r="N107" s="96">
        <f t="shared" si="8"/>
        <v>3285156.25</v>
      </c>
      <c r="O107" s="96">
        <f t="shared" si="9"/>
        <v>3285156.25</v>
      </c>
      <c r="P107" s="96">
        <f t="shared" si="10"/>
        <v>13140625</v>
      </c>
    </row>
    <row r="108" spans="1:16">
      <c r="A108" s="15" t="s">
        <v>358</v>
      </c>
      <c r="B108" s="5">
        <v>3546875</v>
      </c>
      <c r="C108" s="5">
        <v>3546875</v>
      </c>
      <c r="D108" s="5">
        <v>3546875</v>
      </c>
      <c r="E108" s="5">
        <v>3546875</v>
      </c>
      <c r="F108" s="97">
        <f t="shared" si="15"/>
        <v>2500000</v>
      </c>
      <c r="G108" s="96">
        <f t="shared" si="16"/>
        <v>785156.25</v>
      </c>
      <c r="H108" s="96">
        <v>0</v>
      </c>
      <c r="I108" s="96">
        <v>0</v>
      </c>
      <c r="J108" s="96">
        <v>0</v>
      </c>
      <c r="K108" s="96">
        <v>0</v>
      </c>
      <c r="L108" s="97">
        <f t="shared" si="6"/>
        <v>3285156.25</v>
      </c>
      <c r="M108" s="96">
        <f t="shared" si="7"/>
        <v>3285156.25</v>
      </c>
      <c r="N108" s="96">
        <f t="shared" si="8"/>
        <v>3285156.25</v>
      </c>
      <c r="O108" s="96">
        <f t="shared" si="9"/>
        <v>3285156.25</v>
      </c>
      <c r="P108" s="96">
        <f t="shared" si="10"/>
        <v>13140625</v>
      </c>
    </row>
    <row r="109" spans="1:16">
      <c r="A109" s="15" t="s">
        <v>359</v>
      </c>
      <c r="B109" s="5">
        <v>3546875</v>
      </c>
      <c r="C109" s="5">
        <v>3546875</v>
      </c>
      <c r="D109" s="5">
        <v>3546875</v>
      </c>
      <c r="E109" s="5">
        <v>3546875</v>
      </c>
      <c r="F109" s="97">
        <f t="shared" si="15"/>
        <v>2500000</v>
      </c>
      <c r="G109" s="96">
        <f t="shared" si="16"/>
        <v>785156.25</v>
      </c>
      <c r="H109" s="96">
        <v>0</v>
      </c>
      <c r="I109" s="96">
        <v>0</v>
      </c>
      <c r="J109" s="96">
        <v>0</v>
      </c>
      <c r="K109" s="96">
        <v>0</v>
      </c>
      <c r="L109" s="97">
        <f t="shared" si="6"/>
        <v>3285156.25</v>
      </c>
      <c r="M109" s="96">
        <f t="shared" si="7"/>
        <v>3285156.25</v>
      </c>
      <c r="N109" s="96">
        <f t="shared" si="8"/>
        <v>3285156.25</v>
      </c>
      <c r="O109" s="96">
        <f t="shared" si="9"/>
        <v>3285156.25</v>
      </c>
      <c r="P109" s="96">
        <f t="shared" si="10"/>
        <v>13140625</v>
      </c>
    </row>
    <row r="110" spans="1:16">
      <c r="A110" s="15" t="s">
        <v>360</v>
      </c>
      <c r="B110" s="5">
        <v>3546875</v>
      </c>
      <c r="C110" s="5">
        <v>3546875</v>
      </c>
      <c r="D110" s="5">
        <v>3546875</v>
      </c>
      <c r="E110" s="5">
        <v>3546875</v>
      </c>
      <c r="F110" s="97">
        <f t="shared" si="15"/>
        <v>2500000</v>
      </c>
      <c r="G110" s="96">
        <f t="shared" si="16"/>
        <v>785156.25</v>
      </c>
      <c r="H110" s="96">
        <v>0</v>
      </c>
      <c r="I110" s="96">
        <v>0</v>
      </c>
      <c r="J110" s="96">
        <v>0</v>
      </c>
      <c r="K110" s="96">
        <v>0</v>
      </c>
      <c r="L110" s="97">
        <f t="shared" si="6"/>
        <v>3285156.25</v>
      </c>
      <c r="M110" s="96">
        <f t="shared" si="7"/>
        <v>3285156.25</v>
      </c>
      <c r="N110" s="96">
        <f t="shared" si="8"/>
        <v>3285156.25</v>
      </c>
      <c r="O110" s="96">
        <f t="shared" si="9"/>
        <v>3285156.25</v>
      </c>
      <c r="P110" s="96">
        <f t="shared" si="10"/>
        <v>13140625</v>
      </c>
    </row>
    <row r="111" spans="1:16">
      <c r="A111" s="15" t="s">
        <v>361</v>
      </c>
      <c r="B111" s="5">
        <v>3546875</v>
      </c>
      <c r="C111" s="5">
        <v>3546875</v>
      </c>
      <c r="D111" s="5">
        <v>3546875</v>
      </c>
      <c r="E111" s="5">
        <v>3546875</v>
      </c>
      <c r="F111" s="97">
        <f t="shared" si="15"/>
        <v>2500000</v>
      </c>
      <c r="G111" s="96">
        <f t="shared" si="16"/>
        <v>785156.25</v>
      </c>
      <c r="H111" s="96">
        <v>0</v>
      </c>
      <c r="I111" s="96">
        <v>0</v>
      </c>
      <c r="J111" s="96">
        <v>0</v>
      </c>
      <c r="K111" s="96">
        <v>0</v>
      </c>
      <c r="L111" s="97">
        <f t="shared" si="6"/>
        <v>3285156.25</v>
      </c>
      <c r="M111" s="96">
        <f t="shared" si="7"/>
        <v>3285156.25</v>
      </c>
      <c r="N111" s="96">
        <f t="shared" si="8"/>
        <v>3285156.25</v>
      </c>
      <c r="O111" s="96">
        <f t="shared" si="9"/>
        <v>3285156.25</v>
      </c>
      <c r="P111" s="96">
        <f t="shared" si="10"/>
        <v>13140625</v>
      </c>
    </row>
    <row r="112" spans="1:16">
      <c r="A112" s="15" t="s">
        <v>362</v>
      </c>
      <c r="B112" s="5">
        <v>3546875</v>
      </c>
      <c r="C112" s="5">
        <v>3546875</v>
      </c>
      <c r="D112" s="5">
        <v>3546875</v>
      </c>
      <c r="E112" s="5">
        <v>3546875</v>
      </c>
      <c r="F112" s="97">
        <f t="shared" si="15"/>
        <v>2500000</v>
      </c>
      <c r="G112" s="96">
        <f t="shared" si="16"/>
        <v>785156.25</v>
      </c>
      <c r="H112" s="96">
        <v>0</v>
      </c>
      <c r="I112" s="96">
        <v>0</v>
      </c>
      <c r="J112" s="96">
        <v>0</v>
      </c>
      <c r="K112" s="96">
        <v>0</v>
      </c>
      <c r="L112" s="97">
        <f t="shared" si="6"/>
        <v>3285156.25</v>
      </c>
      <c r="M112" s="96">
        <f t="shared" si="7"/>
        <v>3285156.25</v>
      </c>
      <c r="N112" s="96">
        <f t="shared" si="8"/>
        <v>3285156.25</v>
      </c>
      <c r="O112" s="96">
        <f t="shared" si="9"/>
        <v>3285156.25</v>
      </c>
      <c r="P112" s="96">
        <f t="shared" si="10"/>
        <v>13140625</v>
      </c>
    </row>
    <row r="113" spans="1:16">
      <c r="A113" s="15" t="s">
        <v>363</v>
      </c>
      <c r="B113" s="5">
        <v>3546875</v>
      </c>
      <c r="C113" s="5">
        <v>3546875</v>
      </c>
      <c r="D113" s="5">
        <v>3546875</v>
      </c>
      <c r="E113" s="5">
        <v>3546875</v>
      </c>
      <c r="F113" s="97">
        <f t="shared" si="15"/>
        <v>2500000</v>
      </c>
      <c r="G113" s="96">
        <f t="shared" si="16"/>
        <v>785156.25</v>
      </c>
      <c r="H113" s="96">
        <v>0</v>
      </c>
      <c r="I113" s="96">
        <v>0</v>
      </c>
      <c r="J113" s="96">
        <v>0</v>
      </c>
      <c r="K113" s="96">
        <v>0</v>
      </c>
      <c r="L113" s="97">
        <f t="shared" si="6"/>
        <v>3285156.25</v>
      </c>
      <c r="M113" s="96">
        <f t="shared" si="7"/>
        <v>3285156.25</v>
      </c>
      <c r="N113" s="96">
        <f t="shared" si="8"/>
        <v>3285156.25</v>
      </c>
      <c r="O113" s="96">
        <f t="shared" si="9"/>
        <v>3285156.25</v>
      </c>
      <c r="P113" s="96">
        <f t="shared" si="10"/>
        <v>13140625</v>
      </c>
    </row>
    <row r="114" spans="1:16">
      <c r="A114" s="15" t="s">
        <v>364</v>
      </c>
      <c r="B114" s="5">
        <v>3546875</v>
      </c>
      <c r="C114" s="5">
        <v>3546875</v>
      </c>
      <c r="D114" s="5">
        <v>3546875</v>
      </c>
      <c r="E114" s="5">
        <v>3546875</v>
      </c>
      <c r="F114" s="97">
        <f t="shared" si="15"/>
        <v>2500000</v>
      </c>
      <c r="G114" s="96">
        <f t="shared" si="16"/>
        <v>785156.25</v>
      </c>
      <c r="H114" s="96">
        <v>0</v>
      </c>
      <c r="I114" s="96">
        <v>0</v>
      </c>
      <c r="J114" s="96">
        <v>0</v>
      </c>
      <c r="K114" s="96">
        <v>0</v>
      </c>
      <c r="L114" s="97">
        <f t="shared" si="6"/>
        <v>3285156.25</v>
      </c>
      <c r="M114" s="96">
        <f t="shared" si="7"/>
        <v>3285156.25</v>
      </c>
      <c r="N114" s="96">
        <f t="shared" si="8"/>
        <v>3285156.25</v>
      </c>
      <c r="O114" s="96">
        <f t="shared" si="9"/>
        <v>3285156.25</v>
      </c>
      <c r="P114" s="96">
        <f t="shared" si="10"/>
        <v>13140625</v>
      </c>
    </row>
    <row r="115" spans="1:16">
      <c r="A115" s="15" t="s">
        <v>365</v>
      </c>
      <c r="B115" s="5">
        <v>3546875</v>
      </c>
      <c r="C115" s="5">
        <v>3546875</v>
      </c>
      <c r="D115" s="5">
        <v>3546875</v>
      </c>
      <c r="E115" s="5">
        <v>3546875</v>
      </c>
      <c r="F115" s="97">
        <f t="shared" si="15"/>
        <v>2500000</v>
      </c>
      <c r="G115" s="96">
        <f t="shared" si="16"/>
        <v>785156.25</v>
      </c>
      <c r="H115" s="96">
        <v>0</v>
      </c>
      <c r="I115" s="96">
        <v>0</v>
      </c>
      <c r="J115" s="96">
        <v>0</v>
      </c>
      <c r="K115" s="96">
        <v>0</v>
      </c>
      <c r="L115" s="97">
        <f t="shared" si="6"/>
        <v>3285156.25</v>
      </c>
      <c r="M115" s="96">
        <f t="shared" si="7"/>
        <v>3285156.25</v>
      </c>
      <c r="N115" s="96">
        <f t="shared" si="8"/>
        <v>3285156.25</v>
      </c>
      <c r="O115" s="96">
        <f t="shared" si="9"/>
        <v>3285156.25</v>
      </c>
      <c r="P115" s="96">
        <f t="shared" si="10"/>
        <v>13140625</v>
      </c>
    </row>
    <row r="116" spans="1:16">
      <c r="A116" s="15" t="s">
        <v>366</v>
      </c>
      <c r="B116" s="5">
        <v>3546875</v>
      </c>
      <c r="C116" s="5">
        <v>3546875</v>
      </c>
      <c r="D116" s="5">
        <v>3546875</v>
      </c>
      <c r="E116" s="5">
        <v>3546875</v>
      </c>
      <c r="F116" s="97">
        <f t="shared" si="15"/>
        <v>2500000</v>
      </c>
      <c r="G116" s="96">
        <f t="shared" si="16"/>
        <v>785156.25</v>
      </c>
      <c r="H116" s="96">
        <v>0</v>
      </c>
      <c r="I116" s="96">
        <v>0</v>
      </c>
      <c r="J116" s="96">
        <v>0</v>
      </c>
      <c r="K116" s="96">
        <v>0</v>
      </c>
      <c r="L116" s="97">
        <f t="shared" si="6"/>
        <v>3285156.25</v>
      </c>
      <c r="M116" s="96">
        <f t="shared" si="7"/>
        <v>3285156.25</v>
      </c>
      <c r="N116" s="96">
        <f t="shared" si="8"/>
        <v>3285156.25</v>
      </c>
      <c r="O116" s="96">
        <f t="shared" si="9"/>
        <v>3285156.25</v>
      </c>
      <c r="P116" s="96">
        <f t="shared" si="10"/>
        <v>13140625</v>
      </c>
    </row>
    <row r="117" spans="1:16">
      <c r="A117" s="15" t="s">
        <v>367</v>
      </c>
      <c r="B117" s="5">
        <v>3546875</v>
      </c>
      <c r="C117" s="5">
        <v>3546875</v>
      </c>
      <c r="D117" s="5">
        <v>3546875</v>
      </c>
      <c r="E117" s="5">
        <v>3546875</v>
      </c>
      <c r="F117" s="97">
        <f t="shared" si="15"/>
        <v>2500000</v>
      </c>
      <c r="G117" s="96">
        <f t="shared" si="16"/>
        <v>785156.25</v>
      </c>
      <c r="H117" s="96">
        <v>0</v>
      </c>
      <c r="I117" s="96">
        <v>0</v>
      </c>
      <c r="J117" s="96">
        <v>0</v>
      </c>
      <c r="K117" s="96">
        <v>0</v>
      </c>
      <c r="L117" s="97">
        <f t="shared" si="6"/>
        <v>3285156.25</v>
      </c>
      <c r="M117" s="96">
        <f t="shared" si="7"/>
        <v>3285156.25</v>
      </c>
      <c r="N117" s="96">
        <f t="shared" si="8"/>
        <v>3285156.25</v>
      </c>
      <c r="O117" s="96">
        <f t="shared" si="9"/>
        <v>3285156.25</v>
      </c>
      <c r="P117" s="96">
        <f t="shared" si="10"/>
        <v>13140625</v>
      </c>
    </row>
    <row r="118" spans="1:16">
      <c r="A118" s="15" t="s">
        <v>368</v>
      </c>
      <c r="B118" s="5">
        <v>3546875</v>
      </c>
      <c r="C118" s="5">
        <v>3546875</v>
      </c>
      <c r="D118" s="5">
        <v>3546875</v>
      </c>
      <c r="E118" s="5">
        <v>3546875</v>
      </c>
      <c r="F118" s="97">
        <f t="shared" si="15"/>
        <v>2500000</v>
      </c>
      <c r="G118" s="96">
        <f t="shared" si="16"/>
        <v>785156.25</v>
      </c>
      <c r="H118" s="96">
        <v>0</v>
      </c>
      <c r="I118" s="96">
        <v>0</v>
      </c>
      <c r="J118" s="96">
        <v>0</v>
      </c>
      <c r="K118" s="96">
        <v>0</v>
      </c>
      <c r="L118" s="97">
        <f t="shared" si="6"/>
        <v>3285156.25</v>
      </c>
      <c r="M118" s="96">
        <f t="shared" si="7"/>
        <v>3285156.25</v>
      </c>
      <c r="N118" s="96">
        <f t="shared" si="8"/>
        <v>3285156.25</v>
      </c>
      <c r="O118" s="96">
        <f t="shared" si="9"/>
        <v>3285156.25</v>
      </c>
      <c r="P118" s="96">
        <f t="shared" si="10"/>
        <v>13140625</v>
      </c>
    </row>
    <row r="119" spans="1:16">
      <c r="A119" s="15" t="s">
        <v>369</v>
      </c>
      <c r="B119" s="5">
        <v>3546875</v>
      </c>
      <c r="C119" s="5">
        <v>3546875</v>
      </c>
      <c r="D119" s="5">
        <v>3546875</v>
      </c>
      <c r="E119" s="5">
        <v>3546875</v>
      </c>
      <c r="F119" s="97">
        <f t="shared" si="15"/>
        <v>2500000</v>
      </c>
      <c r="G119" s="96">
        <f t="shared" si="16"/>
        <v>785156.25</v>
      </c>
      <c r="H119" s="96">
        <v>0</v>
      </c>
      <c r="I119" s="96">
        <v>0</v>
      </c>
      <c r="J119" s="96">
        <v>0</v>
      </c>
      <c r="K119" s="96">
        <v>0</v>
      </c>
      <c r="L119" s="97">
        <f t="shared" si="6"/>
        <v>3285156.25</v>
      </c>
      <c r="M119" s="96">
        <f t="shared" si="7"/>
        <v>3285156.25</v>
      </c>
      <c r="N119" s="96">
        <f t="shared" si="8"/>
        <v>3285156.25</v>
      </c>
      <c r="O119" s="96">
        <f t="shared" si="9"/>
        <v>3285156.25</v>
      </c>
      <c r="P119" s="96">
        <f t="shared" si="10"/>
        <v>13140625</v>
      </c>
    </row>
    <row r="120" spans="1:16">
      <c r="A120" s="156" t="s">
        <v>731</v>
      </c>
      <c r="B120" s="157">
        <f>SUM(B84:B119)</f>
        <v>357475000</v>
      </c>
      <c r="C120" s="157">
        <f>SUM(C84:C119)</f>
        <v>357475000</v>
      </c>
      <c r="D120" s="157">
        <f>SUM(D84:D119)</f>
        <v>357475000</v>
      </c>
      <c r="E120" s="157">
        <f>SUM(E84:E119)</f>
        <v>357475000</v>
      </c>
      <c r="F120" s="158">
        <f t="shared" ref="F120:K120" si="17">SUM(F84:F119)</f>
        <v>90000000</v>
      </c>
      <c r="G120" s="117">
        <f t="shared" si="17"/>
        <v>49706250</v>
      </c>
      <c r="H120" s="117">
        <f t="shared" si="17"/>
        <v>32312500.000000004</v>
      </c>
      <c r="I120" s="117">
        <f t="shared" si="17"/>
        <v>21586500</v>
      </c>
      <c r="J120" s="117">
        <f t="shared" si="17"/>
        <v>15360000</v>
      </c>
      <c r="K120" s="117">
        <f t="shared" si="17"/>
        <v>8492000</v>
      </c>
      <c r="L120" s="158">
        <f t="shared" ref="L120:O120" si="18">SUM(L84:L119)</f>
        <v>217457250</v>
      </c>
      <c r="M120" s="117">
        <f t="shared" si="18"/>
        <v>217457250</v>
      </c>
      <c r="N120" s="117">
        <f t="shared" si="18"/>
        <v>217457250</v>
      </c>
      <c r="O120" s="117">
        <f t="shared" si="18"/>
        <v>217457250</v>
      </c>
      <c r="P120" s="117">
        <f>SUM(P84:P119)</f>
        <v>869829000</v>
      </c>
    </row>
    <row r="121" spans="1:16">
      <c r="A121" s="14" t="s">
        <v>1502</v>
      </c>
      <c r="P121" s="177">
        <f>P120*0.1</f>
        <v>86982900</v>
      </c>
    </row>
    <row r="122" spans="1:16" s="360" customFormat="1">
      <c r="A122" s="14"/>
      <c r="P122" s="177"/>
    </row>
    <row r="123" spans="1:16" s="360" customFormat="1">
      <c r="A123" s="14"/>
      <c r="P123" s="177"/>
    </row>
    <row r="124" spans="1:16" s="360" customFormat="1">
      <c r="A124" s="14"/>
      <c r="P124" s="177"/>
    </row>
    <row r="125" spans="1:16">
      <c r="A125" s="167" t="s">
        <v>538</v>
      </c>
    </row>
    <row r="126" spans="1:16" ht="49.05" customHeight="1">
      <c r="A126" s="574" t="s">
        <v>722</v>
      </c>
      <c r="B126" s="574"/>
      <c r="C126" s="574"/>
      <c r="D126" s="574"/>
      <c r="E126" s="574"/>
      <c r="F126" s="574"/>
      <c r="G126" s="512"/>
      <c r="H126" s="512"/>
    </row>
    <row r="127" spans="1:16">
      <c r="A127" s="14"/>
    </row>
  </sheetData>
  <mergeCells count="8">
    <mergeCell ref="A126:F126"/>
    <mergeCell ref="A8:F8"/>
    <mergeCell ref="L82:O82"/>
    <mergeCell ref="A31:H33"/>
    <mergeCell ref="A28:H28"/>
    <mergeCell ref="A29:H29"/>
    <mergeCell ref="B82:E82"/>
    <mergeCell ref="F82:K82"/>
  </mergeCells>
  <phoneticPr fontId="16" type="noConversion"/>
  <hyperlinks>
    <hyperlink ref="A8" r:id="rId1" display="Via Licensing acquired responsibility to manage this pool from its predecessor SiproLabs.  The pool is well known pool for WCDMA SEPs.  The Patent Pool &quot;licenses terminal products including handsets and other handheld terminals, removable data cards and e"/>
    <hyperlink ref="G8" r:id="rId2" display="http://www.via-corp.com/newsdetail.aspx?id=2226"/>
    <hyperlink ref="H8" r:id="rId3" display="http://www.via-corp.com/newsdetail.aspx?id=2226"/>
  </hyperlinks>
  <pageMargins left="0.7" right="0.7" top="0.75" bottom="0.75" header="0.3" footer="0.3"/>
  <pageSetup orientation="landscape" horizontalDpi="4294967292" verticalDpi="4294967292" r:id="rId4"/>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5"/>
  <sheetViews>
    <sheetView showGridLines="0" view="pageLayout" topLeftCell="A35" workbookViewId="0">
      <selection activeCell="A46" sqref="A46"/>
    </sheetView>
  </sheetViews>
  <sheetFormatPr baseColWidth="10" defaultRowHeight="15.6"/>
  <cols>
    <col min="1" max="1" width="78.796875" style="36" customWidth="1"/>
  </cols>
  <sheetData>
    <row r="2" spans="1:1">
      <c r="A2" s="188" t="s">
        <v>554</v>
      </c>
    </row>
    <row r="3" spans="1:1" ht="18">
      <c r="A3" s="55" t="str">
        <f>CONCATENATE(VLOOKUP($A$2,'Table of Contents'!$B:$E,4,FALSE)," ",$A$2)</f>
        <v>4.8 Vectis WiFi</v>
      </c>
    </row>
    <row r="4" spans="1:1">
      <c r="A4" t="str">
        <f>VLOOKUP($A$2,'Table of Contents'!$B:$E,3,FALSE)</f>
        <v>Pool</v>
      </c>
    </row>
    <row r="5" spans="1:1">
      <c r="A5" s="54" t="str">
        <f>VLOOKUP($A$2,'Table of Contents'!$B:$E,2,FALSE)</f>
        <v>Researched</v>
      </c>
    </row>
    <row r="7" spans="1:1">
      <c r="A7" s="10" t="s">
        <v>505</v>
      </c>
    </row>
    <row r="8" spans="1:1" ht="46.8">
      <c r="A8" s="36" t="s">
        <v>919</v>
      </c>
    </row>
    <row r="9" spans="1:1" ht="62.4">
      <c r="A9" s="36" t="s">
        <v>585</v>
      </c>
    </row>
    <row r="11" spans="1:1">
      <c r="A11" s="10" t="s">
        <v>539</v>
      </c>
    </row>
    <row r="12" spans="1:1" ht="31.2">
      <c r="A12" s="36" t="s">
        <v>582</v>
      </c>
    </row>
    <row r="14" spans="1:1" ht="31.2">
      <c r="A14" s="299" t="s">
        <v>580</v>
      </c>
    </row>
    <row r="15" spans="1:1">
      <c r="A15" s="67" t="s">
        <v>584</v>
      </c>
    </row>
    <row r="16" spans="1:1">
      <c r="A16" s="68" t="s">
        <v>529</v>
      </c>
    </row>
    <row r="17" spans="1:1">
      <c r="A17" s="69" t="s">
        <v>581</v>
      </c>
    </row>
    <row r="19" spans="1:1" ht="31.2">
      <c r="A19" s="62" t="s">
        <v>735</v>
      </c>
    </row>
    <row r="21" spans="1:1" s="301" customFormat="1">
      <c r="A21" s="299" t="s">
        <v>999</v>
      </c>
    </row>
    <row r="22" spans="1:1" s="301" customFormat="1">
      <c r="A22" s="300" t="s">
        <v>1005</v>
      </c>
    </row>
    <row r="23" spans="1:1" s="301" customFormat="1">
      <c r="A23" s="67" t="s">
        <v>1003</v>
      </c>
    </row>
    <row r="24" spans="1:1" s="301" customFormat="1">
      <c r="A24" s="67" t="s">
        <v>1004</v>
      </c>
    </row>
    <row r="25" spans="1:1" s="301" customFormat="1">
      <c r="A25" s="300"/>
    </row>
    <row r="26" spans="1:1" s="301" customFormat="1">
      <c r="A26" s="300" t="s">
        <v>1000</v>
      </c>
    </row>
    <row r="27" spans="1:1" s="301" customFormat="1">
      <c r="A27" s="67" t="s">
        <v>1001</v>
      </c>
    </row>
    <row r="28" spans="1:1" s="301" customFormat="1">
      <c r="A28" s="67" t="s">
        <v>1002</v>
      </c>
    </row>
    <row r="29" spans="1:1" s="301" customFormat="1">
      <c r="A29" s="297"/>
    </row>
    <row r="30" spans="1:1" s="301" customFormat="1" ht="31.2">
      <c r="A30" s="300" t="s">
        <v>1006</v>
      </c>
    </row>
    <row r="31" spans="1:1" s="301" customFormat="1">
      <c r="A31" s="297"/>
    </row>
    <row r="32" spans="1:1" s="301" customFormat="1">
      <c r="A32" s="297" t="s">
        <v>1007</v>
      </c>
    </row>
    <row r="33" spans="1:1" s="301" customFormat="1">
      <c r="A33" s="297"/>
    </row>
    <row r="34" spans="1:1" s="301" customFormat="1">
      <c r="A34" s="297"/>
    </row>
    <row r="35" spans="1:1">
      <c r="A35" s="10" t="s">
        <v>308</v>
      </c>
    </row>
    <row r="36" spans="1:1">
      <c r="A36" s="36" t="s">
        <v>583</v>
      </c>
    </row>
    <row r="38" spans="1:1">
      <c r="A38" s="10" t="s">
        <v>538</v>
      </c>
    </row>
    <row r="39" spans="1:1" ht="81" customHeight="1">
      <c r="A39" s="492" t="s">
        <v>1519</v>
      </c>
    </row>
    <row r="41" spans="1:1" s="516" customFormat="1" ht="31.2">
      <c r="A41" s="492" t="s">
        <v>579</v>
      </c>
    </row>
    <row r="45" spans="1:1">
      <c r="A45" s="10"/>
    </row>
  </sheetData>
  <phoneticPr fontId="16" type="noConversion"/>
  <hyperlinks>
    <hyperlink ref="A21" r:id="rId1" location="ANTENNA"/>
    <hyperlink ref="A14" r:id="rId2" location="ANTENNA"/>
  </hyperlinks>
  <pageMargins left="0.7" right="0.7" top="0.75" bottom="0.75" header="0.3" footer="0.3"/>
  <pageSetup orientation="portrait" horizontalDpi="4294967292" verticalDpi="4294967292" r:id="rId3"/>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12:D16"/>
  <sheetViews>
    <sheetView showGridLines="0" view="pageLayout" topLeftCell="A2" workbookViewId="0">
      <selection activeCell="A35" sqref="A35"/>
    </sheetView>
  </sheetViews>
  <sheetFormatPr baseColWidth="10" defaultRowHeight="15.6"/>
  <cols>
    <col min="1" max="1" width="80" customWidth="1"/>
  </cols>
  <sheetData>
    <row r="12" spans="1:4" ht="25.8">
      <c r="A12" s="58" t="s">
        <v>515</v>
      </c>
    </row>
    <row r="13" spans="1:4" ht="25.8">
      <c r="A13" s="58" t="s">
        <v>477</v>
      </c>
    </row>
    <row r="16" spans="1:4">
      <c r="D16" s="57"/>
    </row>
  </sheetData>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oddHeader>
    <oddFooter>&amp;LAlexander Galetovic, Stephen Haber, _x000D_and Lew Zaretzki</oddFooter>
  </headerFooter>
  <extLst>
    <ext xmlns:mx="http://schemas.microsoft.com/office/mac/excel/2008/main" uri="{64002731-A6B0-56B0-2670-7721B7C09600}">
      <mx:PLV Mode="1" OnePage="0" WScale="10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0"/>
  <sheetViews>
    <sheetView showGridLines="0" view="pageLayout" zoomScale="68" zoomScalePageLayoutView="68" workbookViewId="0">
      <selection activeCell="A63" sqref="A63"/>
    </sheetView>
  </sheetViews>
  <sheetFormatPr baseColWidth="10" defaultColWidth="10.796875" defaultRowHeight="15.6"/>
  <cols>
    <col min="1" max="1" width="83.5" style="6" customWidth="1"/>
    <col min="2" max="16384" width="10.796875" style="6"/>
  </cols>
  <sheetData>
    <row r="2" spans="1:8">
      <c r="A2" s="189" t="s">
        <v>971</v>
      </c>
    </row>
    <row r="3" spans="1:8" ht="18">
      <c r="A3" s="430" t="str">
        <f>CONCATENATE(VLOOKUP($A$2,'Table of Contents'!$B:$E,4,FALSE)," ",$A$2)</f>
        <v>4.9 MPEGLA HEVC</v>
      </c>
    </row>
    <row r="4" spans="1:8">
      <c r="A4" s="6" t="s">
        <v>765</v>
      </c>
      <c r="B4"/>
      <c r="C4"/>
      <c r="D4"/>
      <c r="E4"/>
      <c r="F4"/>
      <c r="G4"/>
      <c r="H4"/>
    </row>
    <row r="5" spans="1:8">
      <c r="A5" s="431" t="s">
        <v>603</v>
      </c>
      <c r="B5"/>
      <c r="C5"/>
      <c r="D5"/>
      <c r="E5"/>
      <c r="F5"/>
      <c r="G5"/>
      <c r="H5"/>
    </row>
    <row r="6" spans="1:8">
      <c r="A6" s="399"/>
      <c r="B6"/>
      <c r="C6"/>
      <c r="D6"/>
      <c r="E6"/>
      <c r="F6"/>
      <c r="G6"/>
      <c r="H6"/>
    </row>
    <row r="7" spans="1:8">
      <c r="A7" s="65" t="s">
        <v>505</v>
      </c>
      <c r="B7"/>
      <c r="C7"/>
      <c r="D7"/>
      <c r="E7"/>
      <c r="F7"/>
      <c r="G7"/>
      <c r="H7"/>
    </row>
    <row r="8" spans="1:8" ht="31.2">
      <c r="A8" s="399" t="s">
        <v>1190</v>
      </c>
      <c r="B8"/>
      <c r="C8"/>
      <c r="D8"/>
      <c r="E8"/>
      <c r="F8"/>
      <c r="G8"/>
      <c r="H8"/>
    </row>
    <row r="9" spans="1:8" ht="46.8">
      <c r="A9" s="399" t="s">
        <v>1191</v>
      </c>
      <c r="B9"/>
      <c r="C9"/>
      <c r="D9"/>
      <c r="E9"/>
      <c r="F9"/>
      <c r="G9"/>
      <c r="H9"/>
    </row>
    <row r="10" spans="1:8">
      <c r="A10" s="399"/>
      <c r="B10"/>
      <c r="C10"/>
      <c r="D10"/>
      <c r="E10"/>
      <c r="F10"/>
      <c r="G10"/>
      <c r="H10"/>
    </row>
    <row r="11" spans="1:8">
      <c r="A11" s="65" t="s">
        <v>539</v>
      </c>
      <c r="B11"/>
      <c r="C11"/>
      <c r="D11"/>
      <c r="E11"/>
      <c r="F11"/>
      <c r="G11"/>
      <c r="H11"/>
    </row>
    <row r="12" spans="1:8" ht="62.4">
      <c r="A12" s="40" t="s">
        <v>1192</v>
      </c>
      <c r="B12"/>
      <c r="C12"/>
      <c r="D12"/>
      <c r="E12"/>
      <c r="F12"/>
      <c r="G12"/>
      <c r="H12"/>
    </row>
    <row r="13" spans="1:8">
      <c r="A13" s="399"/>
      <c r="B13"/>
      <c r="C13"/>
      <c r="D13"/>
      <c r="E13"/>
      <c r="F13"/>
      <c r="G13"/>
      <c r="H13"/>
    </row>
    <row r="14" spans="1:8">
      <c r="A14" s="169" t="s">
        <v>1184</v>
      </c>
      <c r="B14"/>
      <c r="C14"/>
      <c r="D14"/>
      <c r="E14"/>
      <c r="F14"/>
      <c r="G14"/>
      <c r="H14"/>
    </row>
    <row r="15" spans="1:8">
      <c r="A15" s="432" t="s">
        <v>1182</v>
      </c>
      <c r="B15"/>
      <c r="C15"/>
      <c r="D15"/>
      <c r="E15"/>
      <c r="F15"/>
      <c r="G15"/>
      <c r="H15"/>
    </row>
    <row r="16" spans="1:8">
      <c r="A16" s="433" t="s">
        <v>1183</v>
      </c>
      <c r="B16"/>
      <c r="C16"/>
      <c r="D16"/>
      <c r="E16"/>
      <c r="F16"/>
      <c r="G16"/>
      <c r="H16"/>
    </row>
    <row r="17" spans="1:8">
      <c r="A17" s="434" t="s">
        <v>1179</v>
      </c>
      <c r="B17"/>
      <c r="C17"/>
      <c r="D17"/>
      <c r="E17"/>
      <c r="F17"/>
      <c r="G17"/>
      <c r="H17"/>
    </row>
    <row r="18" spans="1:8">
      <c r="A18" s="434" t="s">
        <v>1180</v>
      </c>
      <c r="B18"/>
      <c r="C18"/>
      <c r="D18"/>
      <c r="E18"/>
      <c r="F18"/>
      <c r="G18"/>
      <c r="H18"/>
    </row>
    <row r="19" spans="1:8">
      <c r="A19" s="242"/>
      <c r="B19"/>
      <c r="C19"/>
      <c r="D19"/>
      <c r="E19"/>
      <c r="F19"/>
      <c r="G19"/>
      <c r="H19"/>
    </row>
    <row r="20" spans="1:8" ht="31.2">
      <c r="A20" s="432" t="s">
        <v>1181</v>
      </c>
      <c r="B20"/>
      <c r="C20"/>
      <c r="D20"/>
      <c r="E20"/>
      <c r="F20"/>
      <c r="G20"/>
      <c r="H20"/>
    </row>
    <row r="21" spans="1:8">
      <c r="A21" s="399"/>
      <c r="B21"/>
      <c r="C21"/>
      <c r="D21"/>
      <c r="E21"/>
      <c r="F21"/>
      <c r="G21"/>
      <c r="H21"/>
    </row>
    <row r="22" spans="1:8">
      <c r="A22" s="435" t="s">
        <v>1188</v>
      </c>
      <c r="B22"/>
      <c r="C22"/>
      <c r="D22"/>
      <c r="E22"/>
      <c r="F22"/>
      <c r="G22"/>
      <c r="H22"/>
    </row>
    <row r="23" spans="1:8">
      <c r="A23" s="435" t="s">
        <v>1189</v>
      </c>
      <c r="B23"/>
      <c r="C23"/>
      <c r="D23"/>
      <c r="E23"/>
      <c r="F23"/>
      <c r="G23"/>
      <c r="H23"/>
    </row>
    <row r="24" spans="1:8">
      <c r="A24" s="399"/>
      <c r="B24"/>
      <c r="C24"/>
      <c r="D24"/>
      <c r="E24"/>
      <c r="F24"/>
      <c r="G24"/>
      <c r="H24"/>
    </row>
    <row r="25" spans="1:8">
      <c r="A25" s="65" t="s">
        <v>308</v>
      </c>
      <c r="B25"/>
      <c r="C25"/>
      <c r="D25"/>
      <c r="E25"/>
      <c r="F25"/>
      <c r="G25"/>
      <c r="H25"/>
    </row>
    <row r="26" spans="1:8" ht="31.2">
      <c r="A26" s="399" t="s">
        <v>1186</v>
      </c>
      <c r="B26"/>
      <c r="C26"/>
      <c r="D26"/>
      <c r="E26"/>
      <c r="F26"/>
      <c r="G26"/>
      <c r="H26"/>
    </row>
    <row r="27" spans="1:8">
      <c r="B27"/>
      <c r="C27"/>
      <c r="D27"/>
      <c r="E27"/>
      <c r="F27"/>
      <c r="G27"/>
      <c r="H27"/>
    </row>
    <row r="28" spans="1:8">
      <c r="A28" s="169" t="s">
        <v>1185</v>
      </c>
      <c r="B28"/>
      <c r="C28"/>
      <c r="D28"/>
      <c r="E28"/>
      <c r="F28"/>
      <c r="G28"/>
      <c r="H28"/>
    </row>
    <row r="29" spans="1:8">
      <c r="A29" s="399"/>
      <c r="B29"/>
      <c r="C29"/>
      <c r="D29"/>
      <c r="E29"/>
      <c r="F29"/>
      <c r="G29"/>
      <c r="H29"/>
    </row>
    <row r="30" spans="1:8">
      <c r="A30" s="399"/>
      <c r="B30"/>
      <c r="C30"/>
      <c r="D30"/>
      <c r="E30"/>
      <c r="F30"/>
      <c r="G30"/>
      <c r="H30"/>
    </row>
    <row r="31" spans="1:8">
      <c r="A31" s="399"/>
      <c r="B31"/>
      <c r="C31"/>
      <c r="D31"/>
      <c r="E31"/>
      <c r="F31"/>
      <c r="G31"/>
      <c r="H31"/>
    </row>
    <row r="32" spans="1:8">
      <c r="A32" s="399"/>
      <c r="B32"/>
      <c r="C32"/>
      <c r="D32"/>
      <c r="E32"/>
      <c r="F32"/>
      <c r="G32"/>
      <c r="H32"/>
    </row>
    <row r="33" spans="1:8">
      <c r="B33"/>
      <c r="C33"/>
      <c r="D33"/>
      <c r="E33"/>
      <c r="F33"/>
      <c r="G33"/>
      <c r="H33"/>
    </row>
    <row r="34" spans="1:8">
      <c r="B34"/>
      <c r="C34"/>
      <c r="D34"/>
      <c r="E34"/>
      <c r="F34"/>
      <c r="G34"/>
      <c r="H34"/>
    </row>
    <row r="35" spans="1:8">
      <c r="A35" s="65" t="s">
        <v>538</v>
      </c>
      <c r="B35"/>
      <c r="C35"/>
      <c r="D35"/>
      <c r="E35"/>
      <c r="F35"/>
      <c r="G35"/>
      <c r="H35"/>
    </row>
    <row r="36" spans="1:8" ht="31.2">
      <c r="A36" s="399" t="s">
        <v>1193</v>
      </c>
      <c r="B36"/>
      <c r="C36"/>
      <c r="D36"/>
      <c r="E36"/>
      <c r="F36"/>
      <c r="G36"/>
      <c r="H36"/>
    </row>
    <row r="38" spans="1:8">
      <c r="A38" s="432" t="s">
        <v>1194</v>
      </c>
    </row>
    <row r="39" spans="1:8">
      <c r="A39" s="436" t="s">
        <v>26</v>
      </c>
    </row>
    <row r="40" spans="1:8">
      <c r="A40" s="436" t="s">
        <v>986</v>
      </c>
    </row>
    <row r="41" spans="1:8">
      <c r="A41" s="437" t="s">
        <v>264</v>
      </c>
    </row>
    <row r="42" spans="1:8">
      <c r="A42" s="437" t="s">
        <v>1196</v>
      </c>
    </row>
    <row r="43" spans="1:8">
      <c r="A43" s="437" t="s">
        <v>1195</v>
      </c>
    </row>
    <row r="45" spans="1:8">
      <c r="A45" s="432" t="s">
        <v>1107</v>
      </c>
    </row>
    <row r="46" spans="1:8">
      <c r="A46" s="437" t="s">
        <v>1108</v>
      </c>
    </row>
    <row r="47" spans="1:8">
      <c r="A47" s="437" t="s">
        <v>1109</v>
      </c>
    </row>
    <row r="48" spans="1:8">
      <c r="A48" s="437" t="s">
        <v>1110</v>
      </c>
    </row>
    <row r="50" spans="1:1">
      <c r="A50" s="432" t="s">
        <v>1197</v>
      </c>
    </row>
    <row r="51" spans="1:1">
      <c r="A51" s="437" t="s">
        <v>1198</v>
      </c>
    </row>
    <row r="52" spans="1:1">
      <c r="A52" s="434" t="s">
        <v>1111</v>
      </c>
    </row>
    <row r="53" spans="1:1">
      <c r="A53" s="438" t="s">
        <v>1199</v>
      </c>
    </row>
    <row r="54" spans="1:1">
      <c r="A54" s="438" t="s">
        <v>1112</v>
      </c>
    </row>
    <row r="55" spans="1:1">
      <c r="A55" s="434" t="s">
        <v>1200</v>
      </c>
    </row>
    <row r="56" spans="1:1">
      <c r="A56" s="438" t="s">
        <v>1201</v>
      </c>
    </row>
    <row r="57" spans="1:1">
      <c r="A57" s="438" t="s">
        <v>1204</v>
      </c>
    </row>
    <row r="59" spans="1:1">
      <c r="A59" s="437" t="s">
        <v>1203</v>
      </c>
    </row>
    <row r="60" spans="1:1">
      <c r="A60" s="437" t="s">
        <v>1202</v>
      </c>
    </row>
    <row r="61" spans="1:1">
      <c r="A61" s="437"/>
    </row>
    <row r="62" spans="1:1">
      <c r="A62" s="439" t="s">
        <v>1106</v>
      </c>
    </row>
    <row r="63" spans="1:1">
      <c r="A63" s="515">
        <f>25*2</f>
        <v>50</v>
      </c>
    </row>
    <row r="79" spans="1:1">
      <c r="A79" s="107" t="s">
        <v>1187</v>
      </c>
    </row>
    <row r="81" spans="1:1">
      <c r="A81" s="280" t="s">
        <v>1074</v>
      </c>
    </row>
    <row r="82" spans="1:1">
      <c r="A82" s="6" t="s">
        <v>1114</v>
      </c>
    </row>
    <row r="83" spans="1:1">
      <c r="A83" s="6" t="s">
        <v>217</v>
      </c>
    </row>
    <row r="84" spans="1:1">
      <c r="A84" s="6" t="s">
        <v>1115</v>
      </c>
    </row>
    <row r="85" spans="1:1">
      <c r="A85" s="6" t="s">
        <v>1116</v>
      </c>
    </row>
    <row r="86" spans="1:1">
      <c r="A86" s="6" t="s">
        <v>1117</v>
      </c>
    </row>
    <row r="87" spans="1:1">
      <c r="A87" s="6" t="s">
        <v>136</v>
      </c>
    </row>
    <row r="88" spans="1:1">
      <c r="A88" s="6" t="s">
        <v>138</v>
      </c>
    </row>
    <row r="89" spans="1:1">
      <c r="A89" s="6" t="s">
        <v>144</v>
      </c>
    </row>
    <row r="90" spans="1:1">
      <c r="A90" s="6" t="s">
        <v>292</v>
      </c>
    </row>
    <row r="91" spans="1:1">
      <c r="A91" s="6" t="s">
        <v>1118</v>
      </c>
    </row>
    <row r="92" spans="1:1">
      <c r="A92" s="6" t="s">
        <v>1119</v>
      </c>
    </row>
    <row r="93" spans="1:1">
      <c r="A93" s="6" t="s">
        <v>1120</v>
      </c>
    </row>
    <row r="94" spans="1:1">
      <c r="A94" s="6" t="s">
        <v>1121</v>
      </c>
    </row>
    <row r="95" spans="1:1">
      <c r="A95" s="6" t="s">
        <v>1122</v>
      </c>
    </row>
    <row r="96" spans="1:1">
      <c r="A96" s="6" t="s">
        <v>228</v>
      </c>
    </row>
    <row r="97" spans="1:1">
      <c r="A97" s="6" t="s">
        <v>279</v>
      </c>
    </row>
    <row r="98" spans="1:1">
      <c r="A98" s="6" t="s">
        <v>1123</v>
      </c>
    </row>
    <row r="99" spans="1:1">
      <c r="A99" s="6" t="s">
        <v>1124</v>
      </c>
    </row>
    <row r="100" spans="1:1">
      <c r="A100" s="6" t="s">
        <v>1125</v>
      </c>
    </row>
    <row r="101" spans="1:1">
      <c r="A101" s="6" t="s">
        <v>1126</v>
      </c>
    </row>
    <row r="102" spans="1:1">
      <c r="A102" s="6" t="s">
        <v>161</v>
      </c>
    </row>
    <row r="103" spans="1:1">
      <c r="A103" s="6" t="s">
        <v>1127</v>
      </c>
    </row>
    <row r="104" spans="1:1">
      <c r="A104" s="6" t="s">
        <v>1128</v>
      </c>
    </row>
    <row r="105" spans="1:1">
      <c r="A105" s="6" t="s">
        <v>281</v>
      </c>
    </row>
    <row r="106" spans="1:1">
      <c r="A106" s="6" t="s">
        <v>230</v>
      </c>
    </row>
    <row r="107" spans="1:1">
      <c r="A107" s="6" t="s">
        <v>211</v>
      </c>
    </row>
    <row r="108" spans="1:1">
      <c r="A108" s="6" t="s">
        <v>1129</v>
      </c>
    </row>
    <row r="109" spans="1:1">
      <c r="A109" s="6" t="s">
        <v>1130</v>
      </c>
    </row>
    <row r="110" spans="1:1">
      <c r="A110" s="6" t="s">
        <v>1131</v>
      </c>
    </row>
    <row r="111" spans="1:1">
      <c r="A111" s="6" t="s">
        <v>1132</v>
      </c>
    </row>
    <row r="112" spans="1:1">
      <c r="A112" s="6" t="s">
        <v>1133</v>
      </c>
    </row>
    <row r="113" spans="1:1">
      <c r="A113" s="6" t="s">
        <v>1134</v>
      </c>
    </row>
    <row r="114" spans="1:1">
      <c r="A114" s="6" t="s">
        <v>1135</v>
      </c>
    </row>
    <row r="115" spans="1:1">
      <c r="A115" s="6" t="s">
        <v>1136</v>
      </c>
    </row>
    <row r="116" spans="1:1">
      <c r="A116" s="6" t="s">
        <v>286</v>
      </c>
    </row>
    <row r="123" spans="1:1">
      <c r="A123" s="280" t="s">
        <v>1056</v>
      </c>
    </row>
    <row r="124" spans="1:1">
      <c r="A124" s="283" t="s">
        <v>1137</v>
      </c>
    </row>
    <row r="125" spans="1:1">
      <c r="A125" s="283" t="s">
        <v>106</v>
      </c>
    </row>
    <row r="126" spans="1:1">
      <c r="A126" s="283" t="s">
        <v>288</v>
      </c>
    </row>
    <row r="127" spans="1:1">
      <c r="A127" s="283" t="s">
        <v>107</v>
      </c>
    </row>
    <row r="128" spans="1:1">
      <c r="A128" s="283" t="s">
        <v>108</v>
      </c>
    </row>
    <row r="129" spans="1:1">
      <c r="A129" s="283" t="s">
        <v>109</v>
      </c>
    </row>
    <row r="130" spans="1:1">
      <c r="A130" s="283" t="s">
        <v>110</v>
      </c>
    </row>
    <row r="131" spans="1:1">
      <c r="A131" s="108" t="s">
        <v>217</v>
      </c>
    </row>
    <row r="132" spans="1:1">
      <c r="A132" s="283" t="s">
        <v>111</v>
      </c>
    </row>
    <row r="133" spans="1:1">
      <c r="A133" s="283" t="s">
        <v>218</v>
      </c>
    </row>
    <row r="134" spans="1:1">
      <c r="A134" s="283" t="s">
        <v>112</v>
      </c>
    </row>
    <row r="135" spans="1:1">
      <c r="A135" s="283" t="s">
        <v>289</v>
      </c>
    </row>
    <row r="136" spans="1:1">
      <c r="A136" s="283" t="s">
        <v>219</v>
      </c>
    </row>
    <row r="137" spans="1:1">
      <c r="A137" s="283" t="s">
        <v>113</v>
      </c>
    </row>
    <row r="138" spans="1:1">
      <c r="A138" s="283" t="s">
        <v>220</v>
      </c>
    </row>
    <row r="139" spans="1:1">
      <c r="A139" s="283" t="s">
        <v>1138</v>
      </c>
    </row>
    <row r="140" spans="1:1" ht="31.2">
      <c r="A140" s="513" t="s">
        <v>114</v>
      </c>
    </row>
    <row r="141" spans="1:1">
      <c r="A141" s="283" t="s">
        <v>115</v>
      </c>
    </row>
    <row r="142" spans="1:1">
      <c r="A142" s="283" t="s">
        <v>1139</v>
      </c>
    </row>
    <row r="143" spans="1:1">
      <c r="A143" s="283" t="s">
        <v>116</v>
      </c>
    </row>
    <row r="144" spans="1:1">
      <c r="A144" s="283" t="s">
        <v>117</v>
      </c>
    </row>
    <row r="145" spans="1:1">
      <c r="A145" s="283" t="s">
        <v>118</v>
      </c>
    </row>
    <row r="146" spans="1:1">
      <c r="A146" s="283" t="s">
        <v>119</v>
      </c>
    </row>
    <row r="147" spans="1:1">
      <c r="A147" s="283" t="s">
        <v>1140</v>
      </c>
    </row>
    <row r="148" spans="1:1">
      <c r="A148" s="283" t="s">
        <v>120</v>
      </c>
    </row>
    <row r="149" spans="1:1">
      <c r="A149" s="283" t="s">
        <v>121</v>
      </c>
    </row>
    <row r="150" spans="1:1">
      <c r="A150" s="283" t="s">
        <v>122</v>
      </c>
    </row>
    <row r="151" spans="1:1">
      <c r="A151" s="283" t="s">
        <v>123</v>
      </c>
    </row>
    <row r="152" spans="1:1">
      <c r="A152" s="283" t="s">
        <v>1141</v>
      </c>
    </row>
    <row r="153" spans="1:1">
      <c r="A153" s="283" t="s">
        <v>124</v>
      </c>
    </row>
    <row r="154" spans="1:1">
      <c r="A154" s="283" t="s">
        <v>1142</v>
      </c>
    </row>
    <row r="155" spans="1:1">
      <c r="A155" s="283" t="s">
        <v>125</v>
      </c>
    </row>
    <row r="156" spans="1:1">
      <c r="A156" s="283" t="s">
        <v>126</v>
      </c>
    </row>
    <row r="157" spans="1:1">
      <c r="A157" s="283" t="s">
        <v>221</v>
      </c>
    </row>
    <row r="158" spans="1:1">
      <c r="A158" s="283" t="s">
        <v>127</v>
      </c>
    </row>
    <row r="159" spans="1:1">
      <c r="A159" s="283" t="s">
        <v>222</v>
      </c>
    </row>
    <row r="160" spans="1:1">
      <c r="A160" s="283" t="s">
        <v>290</v>
      </c>
    </row>
    <row r="161" spans="1:1">
      <c r="A161" s="283" t="s">
        <v>129</v>
      </c>
    </row>
    <row r="162" spans="1:1">
      <c r="A162" s="283" t="s">
        <v>1143</v>
      </c>
    </row>
    <row r="163" spans="1:1">
      <c r="A163" s="283" t="s">
        <v>130</v>
      </c>
    </row>
    <row r="164" spans="1:1">
      <c r="A164" s="283" t="s">
        <v>131</v>
      </c>
    </row>
    <row r="165" spans="1:1">
      <c r="A165" s="283" t="s">
        <v>1144</v>
      </c>
    </row>
    <row r="166" spans="1:1">
      <c r="A166" s="283" t="s">
        <v>291</v>
      </c>
    </row>
    <row r="167" spans="1:1">
      <c r="A167" s="283" t="s">
        <v>132</v>
      </c>
    </row>
    <row r="168" spans="1:1">
      <c r="A168" s="283" t="s">
        <v>133</v>
      </c>
    </row>
    <row r="169" spans="1:1">
      <c r="A169" s="283" t="s">
        <v>223</v>
      </c>
    </row>
    <row r="170" spans="1:1">
      <c r="A170" s="283" t="s">
        <v>324</v>
      </c>
    </row>
    <row r="171" spans="1:1">
      <c r="A171" s="283" t="s">
        <v>134</v>
      </c>
    </row>
    <row r="172" spans="1:1">
      <c r="A172" s="283" t="s">
        <v>1145</v>
      </c>
    </row>
    <row r="173" spans="1:1">
      <c r="A173" s="283" t="s">
        <v>1146</v>
      </c>
    </row>
    <row r="174" spans="1:1">
      <c r="A174" s="283" t="s">
        <v>135</v>
      </c>
    </row>
    <row r="175" spans="1:1">
      <c r="A175" s="283" t="s">
        <v>1147</v>
      </c>
    </row>
    <row r="176" spans="1:1">
      <c r="A176" s="283" t="s">
        <v>1148</v>
      </c>
    </row>
    <row r="177" spans="1:1">
      <c r="A177" s="108" t="s">
        <v>136</v>
      </c>
    </row>
    <row r="178" spans="1:1">
      <c r="A178" s="108" t="s">
        <v>137</v>
      </c>
    </row>
    <row r="179" spans="1:1">
      <c r="A179" s="283" t="s">
        <v>138</v>
      </c>
    </row>
    <row r="180" spans="1:1">
      <c r="A180" s="283" t="s">
        <v>225</v>
      </c>
    </row>
    <row r="181" spans="1:1">
      <c r="A181" s="283" t="s">
        <v>1149</v>
      </c>
    </row>
    <row r="182" spans="1:1">
      <c r="A182" s="283" t="s">
        <v>140</v>
      </c>
    </row>
    <row r="183" spans="1:1">
      <c r="A183" s="283" t="s">
        <v>141</v>
      </c>
    </row>
    <row r="184" spans="1:1">
      <c r="A184" s="283" t="s">
        <v>226</v>
      </c>
    </row>
    <row r="185" spans="1:1">
      <c r="A185" s="283" t="s">
        <v>1150</v>
      </c>
    </row>
    <row r="186" spans="1:1">
      <c r="A186" s="283" t="s">
        <v>142</v>
      </c>
    </row>
    <row r="187" spans="1:1">
      <c r="A187" s="283" t="s">
        <v>1151</v>
      </c>
    </row>
    <row r="188" spans="1:1">
      <c r="A188" s="283" t="s">
        <v>143</v>
      </c>
    </row>
    <row r="189" spans="1:1">
      <c r="A189" s="283" t="s">
        <v>147</v>
      </c>
    </row>
    <row r="190" spans="1:1">
      <c r="A190" s="283" t="s">
        <v>292</v>
      </c>
    </row>
    <row r="191" spans="1:1">
      <c r="A191" s="283" t="s">
        <v>293</v>
      </c>
    </row>
    <row r="192" spans="1:1">
      <c r="A192" s="283" t="s">
        <v>148</v>
      </c>
    </row>
    <row r="193" spans="1:1">
      <c r="A193" s="283" t="s">
        <v>149</v>
      </c>
    </row>
    <row r="194" spans="1:1">
      <c r="A194" s="283" t="s">
        <v>1152</v>
      </c>
    </row>
    <row r="195" spans="1:1">
      <c r="A195" s="283" t="s">
        <v>1153</v>
      </c>
    </row>
    <row r="196" spans="1:1">
      <c r="A196" s="283" t="s">
        <v>150</v>
      </c>
    </row>
    <row r="197" spans="1:1">
      <c r="A197" s="283" t="s">
        <v>151</v>
      </c>
    </row>
    <row r="198" spans="1:1">
      <c r="A198" s="283" t="s">
        <v>227</v>
      </c>
    </row>
    <row r="199" spans="1:1">
      <c r="A199" s="283" t="s">
        <v>294</v>
      </c>
    </row>
    <row r="200" spans="1:1">
      <c r="A200" s="283" t="s">
        <v>1154</v>
      </c>
    </row>
    <row r="201" spans="1:1">
      <c r="A201" s="283" t="s">
        <v>295</v>
      </c>
    </row>
    <row r="202" spans="1:1">
      <c r="A202" s="283" t="s">
        <v>152</v>
      </c>
    </row>
    <row r="203" spans="1:1">
      <c r="A203" s="283" t="s">
        <v>1155</v>
      </c>
    </row>
    <row r="204" spans="1:1">
      <c r="A204" s="283" t="s">
        <v>1156</v>
      </c>
    </row>
    <row r="205" spans="1:1">
      <c r="A205" s="283" t="s">
        <v>1157</v>
      </c>
    </row>
    <row r="206" spans="1:1">
      <c r="A206" s="283" t="s">
        <v>1124</v>
      </c>
    </row>
    <row r="207" spans="1:1">
      <c r="A207" s="283" t="s">
        <v>1158</v>
      </c>
    </row>
    <row r="208" spans="1:1">
      <c r="A208" s="283" t="s">
        <v>1159</v>
      </c>
    </row>
    <row r="209" spans="1:1">
      <c r="A209" s="283" t="s">
        <v>1160</v>
      </c>
    </row>
    <row r="210" spans="1:1">
      <c r="A210" s="283" t="s">
        <v>154</v>
      </c>
    </row>
    <row r="211" spans="1:1">
      <c r="A211" s="283" t="s">
        <v>155</v>
      </c>
    </row>
    <row r="212" spans="1:1">
      <c r="A212" s="283" t="s">
        <v>156</v>
      </c>
    </row>
    <row r="213" spans="1:1">
      <c r="A213" s="283" t="s">
        <v>157</v>
      </c>
    </row>
    <row r="214" spans="1:1">
      <c r="A214" s="283" t="s">
        <v>296</v>
      </c>
    </row>
    <row r="215" spans="1:1">
      <c r="A215" s="283" t="s">
        <v>297</v>
      </c>
    </row>
    <row r="216" spans="1:1">
      <c r="A216" s="283" t="s">
        <v>159</v>
      </c>
    </row>
    <row r="217" spans="1:1">
      <c r="A217" s="283" t="s">
        <v>1161</v>
      </c>
    </row>
    <row r="218" spans="1:1">
      <c r="A218" s="283" t="s">
        <v>1162</v>
      </c>
    </row>
    <row r="219" spans="1:1">
      <c r="A219" s="283" t="s">
        <v>160</v>
      </c>
    </row>
    <row r="220" spans="1:1">
      <c r="A220" s="283" t="s">
        <v>298</v>
      </c>
    </row>
    <row r="221" spans="1:1">
      <c r="A221" s="283" t="s">
        <v>161</v>
      </c>
    </row>
    <row r="222" spans="1:1">
      <c r="A222" s="283" t="s">
        <v>1163</v>
      </c>
    </row>
    <row r="223" spans="1:1">
      <c r="A223" s="283" t="s">
        <v>1164</v>
      </c>
    </row>
    <row r="224" spans="1:1">
      <c r="A224" s="283" t="s">
        <v>162</v>
      </c>
    </row>
    <row r="225" spans="1:1">
      <c r="A225" s="283" t="s">
        <v>1165</v>
      </c>
    </row>
    <row r="226" spans="1:1">
      <c r="A226" s="283" t="s">
        <v>163</v>
      </c>
    </row>
    <row r="227" spans="1:1">
      <c r="A227" s="283" t="s">
        <v>164</v>
      </c>
    </row>
    <row r="228" spans="1:1">
      <c r="A228" s="283" t="s">
        <v>299</v>
      </c>
    </row>
    <row r="229" spans="1:1">
      <c r="A229" s="283" t="s">
        <v>165</v>
      </c>
    </row>
    <row r="230" spans="1:1">
      <c r="A230" s="283" t="s">
        <v>229</v>
      </c>
    </row>
    <row r="231" spans="1:1">
      <c r="A231" s="283" t="s">
        <v>166</v>
      </c>
    </row>
    <row r="232" spans="1:1">
      <c r="A232" s="283" t="s">
        <v>300</v>
      </c>
    </row>
    <row r="233" spans="1:1">
      <c r="A233" s="283" t="s">
        <v>167</v>
      </c>
    </row>
    <row r="234" spans="1:1">
      <c r="A234" s="283" t="s">
        <v>1166</v>
      </c>
    </row>
    <row r="235" spans="1:1">
      <c r="A235" s="283" t="s">
        <v>168</v>
      </c>
    </row>
    <row r="236" spans="1:1">
      <c r="A236" s="283" t="s">
        <v>1167</v>
      </c>
    </row>
    <row r="237" spans="1:1">
      <c r="A237" s="108" t="s">
        <v>230</v>
      </c>
    </row>
    <row r="238" spans="1:1">
      <c r="A238" s="283" t="s">
        <v>169</v>
      </c>
    </row>
    <row r="239" spans="1:1">
      <c r="A239" s="283" t="s">
        <v>170</v>
      </c>
    </row>
    <row r="240" spans="1:1">
      <c r="A240" s="283" t="s">
        <v>1168</v>
      </c>
    </row>
    <row r="241" spans="1:1">
      <c r="A241" s="283" t="s">
        <v>1169</v>
      </c>
    </row>
    <row r="242" spans="1:1">
      <c r="A242" s="283" t="s">
        <v>1170</v>
      </c>
    </row>
    <row r="243" spans="1:1">
      <c r="A243" s="283" t="s">
        <v>172</v>
      </c>
    </row>
    <row r="244" spans="1:1">
      <c r="A244" s="283" t="s">
        <v>173</v>
      </c>
    </row>
    <row r="245" spans="1:1">
      <c r="A245" s="108" t="s">
        <v>211</v>
      </c>
    </row>
    <row r="246" spans="1:1">
      <c r="A246" s="283" t="s">
        <v>174</v>
      </c>
    </row>
    <row r="247" spans="1:1">
      <c r="A247" s="283" t="s">
        <v>1171</v>
      </c>
    </row>
    <row r="248" spans="1:1">
      <c r="A248" s="283" t="s">
        <v>175</v>
      </c>
    </row>
    <row r="249" spans="1:1">
      <c r="A249" s="283" t="s">
        <v>177</v>
      </c>
    </row>
    <row r="250" spans="1:1">
      <c r="A250" s="283" t="s">
        <v>301</v>
      </c>
    </row>
    <row r="251" spans="1:1">
      <c r="A251" s="283" t="s">
        <v>231</v>
      </c>
    </row>
    <row r="252" spans="1:1">
      <c r="A252" s="283" t="s">
        <v>179</v>
      </c>
    </row>
    <row r="253" spans="1:1">
      <c r="A253" s="283" t="s">
        <v>232</v>
      </c>
    </row>
    <row r="254" spans="1:1">
      <c r="A254" s="108" t="s">
        <v>303</v>
      </c>
    </row>
    <row r="255" spans="1:1">
      <c r="A255" s="283" t="s">
        <v>180</v>
      </c>
    </row>
    <row r="256" spans="1:1">
      <c r="A256" s="283" t="s">
        <v>181</v>
      </c>
    </row>
    <row r="257" spans="1:1">
      <c r="A257" s="283" t="s">
        <v>1172</v>
      </c>
    </row>
    <row r="258" spans="1:1">
      <c r="A258" s="283" t="s">
        <v>182</v>
      </c>
    </row>
    <row r="259" spans="1:1">
      <c r="A259" s="283" t="s">
        <v>183</v>
      </c>
    </row>
    <row r="260" spans="1:1">
      <c r="A260" s="283" t="s">
        <v>184</v>
      </c>
    </row>
    <row r="261" spans="1:1">
      <c r="A261" s="283" t="s">
        <v>185</v>
      </c>
    </row>
    <row r="262" spans="1:1">
      <c r="A262" s="283" t="s">
        <v>186</v>
      </c>
    </row>
    <row r="263" spans="1:1">
      <c r="A263" s="283" t="s">
        <v>187</v>
      </c>
    </row>
    <row r="264" spans="1:1">
      <c r="A264" s="283" t="s">
        <v>188</v>
      </c>
    </row>
    <row r="265" spans="1:1">
      <c r="A265" s="283" t="s">
        <v>189</v>
      </c>
    </row>
    <row r="266" spans="1:1">
      <c r="A266" s="283" t="s">
        <v>233</v>
      </c>
    </row>
    <row r="267" spans="1:1">
      <c r="A267" s="283" t="s">
        <v>1173</v>
      </c>
    </row>
    <row r="268" spans="1:1">
      <c r="A268" s="283" t="s">
        <v>1174</v>
      </c>
    </row>
    <row r="269" spans="1:1">
      <c r="A269" s="283" t="s">
        <v>190</v>
      </c>
    </row>
    <row r="270" spans="1:1">
      <c r="A270" s="283" t="s">
        <v>1175</v>
      </c>
    </row>
    <row r="271" spans="1:1">
      <c r="A271" s="283" t="s">
        <v>192</v>
      </c>
    </row>
    <row r="272" spans="1:1">
      <c r="A272" s="283" t="s">
        <v>193</v>
      </c>
    </row>
    <row r="273" spans="1:1">
      <c r="A273" s="283" t="s">
        <v>194</v>
      </c>
    </row>
    <row r="274" spans="1:1">
      <c r="A274" s="283" t="s">
        <v>304</v>
      </c>
    </row>
    <row r="275" spans="1:1">
      <c r="A275" s="283" t="s">
        <v>305</v>
      </c>
    </row>
    <row r="276" spans="1:1">
      <c r="A276" s="283" t="s">
        <v>286</v>
      </c>
    </row>
    <row r="277" spans="1:1">
      <c r="A277" s="283" t="s">
        <v>234</v>
      </c>
    </row>
    <row r="278" spans="1:1">
      <c r="A278" s="283" t="s">
        <v>235</v>
      </c>
    </row>
    <row r="279" spans="1:1">
      <c r="A279" s="283" t="s">
        <v>236</v>
      </c>
    </row>
    <row r="280" spans="1:1">
      <c r="A280" s="283" t="s">
        <v>1176</v>
      </c>
    </row>
    <row r="281" spans="1:1">
      <c r="A281" s="283" t="s">
        <v>195</v>
      </c>
    </row>
    <row r="282" spans="1:1">
      <c r="A282" s="283" t="s">
        <v>196</v>
      </c>
    </row>
    <row r="283" spans="1:1">
      <c r="A283" s="283" t="s">
        <v>197</v>
      </c>
    </row>
    <row r="284" spans="1:1">
      <c r="A284" s="283" t="s">
        <v>1177</v>
      </c>
    </row>
    <row r="285" spans="1:1">
      <c r="A285" s="283" t="s">
        <v>198</v>
      </c>
    </row>
    <row r="286" spans="1:1">
      <c r="A286" s="283" t="s">
        <v>199</v>
      </c>
    </row>
    <row r="287" spans="1:1">
      <c r="A287" s="283" t="s">
        <v>306</v>
      </c>
    </row>
    <row r="288" spans="1:1">
      <c r="A288" s="283" t="s">
        <v>237</v>
      </c>
    </row>
    <row r="289" spans="1:1">
      <c r="A289" s="283" t="s">
        <v>307</v>
      </c>
    </row>
    <row r="290" spans="1:1">
      <c r="A290" s="283" t="s">
        <v>1178</v>
      </c>
    </row>
  </sheetData>
  <sortState ref="A78:A146">
    <sortCondition ref="A3:A71"/>
  </sortState>
  <phoneticPr fontId="16" type="noConversion"/>
  <hyperlinks>
    <hyperlink ref="A14" r:id="rId1"/>
    <hyperlink ref="A81" r:id="rId2"/>
    <hyperlink ref="A123" r:id="rId3"/>
    <hyperlink ref="A22" r:id="rId4" display="Licensors"/>
    <hyperlink ref="A23" r:id="rId5" display="Licensees: 167 entities, including Apple and Samsung"/>
    <hyperlink ref="A28" r:id="rId6" display="MPEG-LA announced availability of licenses via its HEVC patent pool in September 2014."/>
  </hyperlinks>
  <pageMargins left="0.7" right="0.7" top="0.75" bottom="0.75" header="0.3" footer="0.3"/>
  <pageSetup orientation="portrait" horizontalDpi="0" verticalDpi="0" r:id="rId7"/>
  <headerFooter>
    <oddHeader>&amp;LA New Dataset on Mobile Phone 
Patent License Royalties&amp;C&amp;"-,Negrita"&amp;A&amp;RAugust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6"/>
  <sheetViews>
    <sheetView showGridLines="0" view="pageLayout" topLeftCell="A48" workbookViewId="0">
      <selection activeCell="A97" sqref="A97"/>
    </sheetView>
  </sheetViews>
  <sheetFormatPr baseColWidth="10" defaultColWidth="10.796875" defaultRowHeight="15.6"/>
  <cols>
    <col min="1" max="1" width="80.796875" style="6" customWidth="1"/>
    <col min="2" max="16384" width="10.796875" style="6"/>
  </cols>
  <sheetData>
    <row r="2" spans="1:1">
      <c r="A2" s="189" t="s">
        <v>969</v>
      </c>
    </row>
    <row r="3" spans="1:1" ht="18">
      <c r="A3" s="430" t="str">
        <f>CONCATENATE(VLOOKUP($A$2,'Table of Contents'!$B:$E,4,FALSE)," ",$A$2)</f>
        <v>4.1 HEVC Advance</v>
      </c>
    </row>
    <row r="4" spans="1:1">
      <c r="A4" s="6" t="s">
        <v>765</v>
      </c>
    </row>
    <row r="5" spans="1:1">
      <c r="A5" s="431" t="s">
        <v>603</v>
      </c>
    </row>
    <row r="6" spans="1:1">
      <c r="A6" s="440"/>
    </row>
    <row r="7" spans="1:1">
      <c r="A7" s="65" t="s">
        <v>505</v>
      </c>
    </row>
    <row r="8" spans="1:1" ht="34.950000000000003" customHeight="1">
      <c r="A8" s="440" t="s">
        <v>1077</v>
      </c>
    </row>
    <row r="9" spans="1:1" ht="62.4">
      <c r="A9" s="440" t="s">
        <v>1503</v>
      </c>
    </row>
    <row r="10" spans="1:1">
      <c r="A10" s="440"/>
    </row>
    <row r="11" spans="1:1">
      <c r="A11" s="65" t="s">
        <v>539</v>
      </c>
    </row>
    <row r="12" spans="1:1" ht="31.2">
      <c r="A12" s="440" t="s">
        <v>1504</v>
      </c>
    </row>
    <row r="13" spans="1:1">
      <c r="A13" s="440"/>
    </row>
    <row r="14" spans="1:1">
      <c r="A14" s="169" t="s">
        <v>1078</v>
      </c>
    </row>
    <row r="15" spans="1:1">
      <c r="A15" s="440" t="s">
        <v>1079</v>
      </c>
    </row>
    <row r="16" spans="1:1">
      <c r="A16" s="450" t="s">
        <v>1080</v>
      </c>
    </row>
    <row r="17" spans="1:1">
      <c r="A17" s="438" t="s">
        <v>1091</v>
      </c>
    </row>
    <row r="18" spans="1:1">
      <c r="A18" s="438" t="s">
        <v>1097</v>
      </c>
    </row>
    <row r="19" spans="1:1">
      <c r="A19" s="242"/>
    </row>
    <row r="20" spans="1:1">
      <c r="A20" s="450" t="s">
        <v>1081</v>
      </c>
    </row>
    <row r="21" spans="1:1">
      <c r="A21" s="438" t="s">
        <v>1082</v>
      </c>
    </row>
    <row r="22" spans="1:1">
      <c r="A22" s="438" t="s">
        <v>1083</v>
      </c>
    </row>
    <row r="23" spans="1:1">
      <c r="A23" s="440"/>
    </row>
    <row r="24" spans="1:1">
      <c r="A24" s="450" t="s">
        <v>1084</v>
      </c>
    </row>
    <row r="25" spans="1:1">
      <c r="A25" s="438" t="s">
        <v>1085</v>
      </c>
    </row>
    <row r="26" spans="1:1">
      <c r="A26" s="438" t="s">
        <v>1086</v>
      </c>
    </row>
    <row r="27" spans="1:1">
      <c r="A27" s="440"/>
    </row>
    <row r="28" spans="1:1">
      <c r="A28" s="450" t="s">
        <v>1090</v>
      </c>
    </row>
    <row r="29" spans="1:1">
      <c r="A29" s="438" t="s">
        <v>1087</v>
      </c>
    </row>
    <row r="30" spans="1:1">
      <c r="A30" s="438" t="s">
        <v>1088</v>
      </c>
    </row>
    <row r="31" spans="1:1">
      <c r="A31" s="438" t="s">
        <v>1089</v>
      </c>
    </row>
    <row r="32" spans="1:1">
      <c r="A32" s="440"/>
    </row>
    <row r="33" spans="1:1">
      <c r="A33" s="169" t="s">
        <v>1099</v>
      </c>
    </row>
    <row r="34" spans="1:1">
      <c r="A34" s="169" t="s">
        <v>1098</v>
      </c>
    </row>
    <row r="35" spans="1:1">
      <c r="A35" s="169"/>
    </row>
    <row r="37" spans="1:1">
      <c r="A37" s="280" t="s">
        <v>1074</v>
      </c>
    </row>
    <row r="38" spans="1:1">
      <c r="A38" s="6" t="s">
        <v>1505</v>
      </c>
    </row>
    <row r="39" spans="1:1">
      <c r="A39" s="6" t="s">
        <v>987</v>
      </c>
    </row>
    <row r="40" spans="1:1">
      <c r="A40" s="6" t="s">
        <v>1075</v>
      </c>
    </row>
    <row r="41" spans="1:1">
      <c r="A41" s="6" t="s">
        <v>1076</v>
      </c>
    </row>
    <row r="42" spans="1:1">
      <c r="A42" s="6" t="s">
        <v>158</v>
      </c>
    </row>
    <row r="43" spans="1:1">
      <c r="A43" s="6" t="s">
        <v>988</v>
      </c>
    </row>
    <row r="44" spans="1:1">
      <c r="A44" s="6" t="s">
        <v>1095</v>
      </c>
    </row>
    <row r="46" spans="1:1">
      <c r="A46" s="280" t="s">
        <v>1056</v>
      </c>
    </row>
    <row r="47" spans="1:1" ht="62.4">
      <c r="A47" s="440" t="s">
        <v>1113</v>
      </c>
    </row>
    <row r="49" spans="1:1">
      <c r="A49" s="374" t="s">
        <v>1057</v>
      </c>
    </row>
    <row r="50" spans="1:1">
      <c r="A50" s="374" t="s">
        <v>1058</v>
      </c>
    </row>
    <row r="51" spans="1:1">
      <c r="A51" s="451" t="s">
        <v>1059</v>
      </c>
    </row>
    <row r="52" spans="1:1">
      <c r="A52" s="374" t="s">
        <v>125</v>
      </c>
    </row>
    <row r="53" spans="1:1">
      <c r="A53" s="374" t="s">
        <v>128</v>
      </c>
    </row>
    <row r="54" spans="1:1">
      <c r="A54" s="374" t="s">
        <v>1060</v>
      </c>
    </row>
    <row r="55" spans="1:1">
      <c r="A55" s="374" t="s">
        <v>1061</v>
      </c>
    </row>
    <row r="56" spans="1:1">
      <c r="A56" s="374" t="s">
        <v>1062</v>
      </c>
    </row>
    <row r="57" spans="1:1">
      <c r="A57" s="374" t="s">
        <v>1063</v>
      </c>
    </row>
    <row r="58" spans="1:1">
      <c r="A58" s="374" t="s">
        <v>1064</v>
      </c>
    </row>
    <row r="59" spans="1:1">
      <c r="A59" s="374" t="s">
        <v>158</v>
      </c>
    </row>
    <row r="60" spans="1:1">
      <c r="A60" s="374" t="s">
        <v>298</v>
      </c>
    </row>
    <row r="61" spans="1:1">
      <c r="A61" s="374" t="s">
        <v>164</v>
      </c>
    </row>
    <row r="62" spans="1:1">
      <c r="A62" s="374" t="s">
        <v>1065</v>
      </c>
    </row>
    <row r="63" spans="1:1">
      <c r="A63" s="374" t="s">
        <v>1066</v>
      </c>
    </row>
    <row r="64" spans="1:1">
      <c r="A64" s="451" t="s">
        <v>211</v>
      </c>
    </row>
    <row r="65" spans="1:1">
      <c r="A65" s="451" t="s">
        <v>1067</v>
      </c>
    </row>
    <row r="66" spans="1:1">
      <c r="A66" s="374" t="s">
        <v>302</v>
      </c>
    </row>
    <row r="67" spans="1:1">
      <c r="A67" s="374" t="s">
        <v>1068</v>
      </c>
    </row>
    <row r="68" spans="1:1">
      <c r="A68" s="374" t="s">
        <v>182</v>
      </c>
    </row>
    <row r="69" spans="1:1">
      <c r="A69" s="374" t="s">
        <v>185</v>
      </c>
    </row>
    <row r="70" spans="1:1">
      <c r="A70" s="374" t="s">
        <v>1069</v>
      </c>
    </row>
    <row r="71" spans="1:1">
      <c r="A71" s="374" t="s">
        <v>1070</v>
      </c>
    </row>
    <row r="72" spans="1:1">
      <c r="A72" s="374" t="s">
        <v>1071</v>
      </c>
    </row>
    <row r="73" spans="1:1">
      <c r="A73" s="374" t="s">
        <v>1072</v>
      </c>
    </row>
    <row r="74" spans="1:1">
      <c r="A74" s="374" t="s">
        <v>1073</v>
      </c>
    </row>
    <row r="75" spans="1:1">
      <c r="A75" s="440"/>
    </row>
    <row r="76" spans="1:1">
      <c r="A76" s="440"/>
    </row>
    <row r="77" spans="1:1">
      <c r="A77" s="65" t="s">
        <v>308</v>
      </c>
    </row>
    <row r="78" spans="1:1">
      <c r="A78" s="440" t="s">
        <v>1092</v>
      </c>
    </row>
    <row r="80" spans="1:1" ht="31.2">
      <c r="A80" s="440" t="s">
        <v>1093</v>
      </c>
    </row>
    <row r="81" spans="1:1">
      <c r="A81" s="440"/>
    </row>
    <row r="82" spans="1:1" ht="31.2">
      <c r="A82" s="440" t="s">
        <v>1096</v>
      </c>
    </row>
    <row r="83" spans="1:1">
      <c r="A83" s="440"/>
    </row>
    <row r="84" spans="1:1">
      <c r="A84" s="65" t="s">
        <v>538</v>
      </c>
    </row>
    <row r="85" spans="1:1" ht="31.2">
      <c r="A85" s="440" t="s">
        <v>1094</v>
      </c>
    </row>
    <row r="87" spans="1:1">
      <c r="A87" s="432" t="s">
        <v>1100</v>
      </c>
    </row>
    <row r="88" spans="1:1">
      <c r="A88" s="437" t="s">
        <v>1101</v>
      </c>
    </row>
    <row r="89" spans="1:1">
      <c r="A89" s="437" t="s">
        <v>1102</v>
      </c>
    </row>
    <row r="90" spans="1:1">
      <c r="A90" s="437" t="s">
        <v>1103</v>
      </c>
    </row>
    <row r="92" spans="1:1">
      <c r="A92" s="432" t="s">
        <v>1107</v>
      </c>
    </row>
    <row r="93" spans="1:1">
      <c r="A93" s="437" t="s">
        <v>1108</v>
      </c>
    </row>
    <row r="94" spans="1:1">
      <c r="A94" s="437" t="s">
        <v>1109</v>
      </c>
    </row>
    <row r="95" spans="1:1">
      <c r="A95" s="437" t="s">
        <v>1110</v>
      </c>
    </row>
    <row r="97" spans="1:1">
      <c r="A97" s="432" t="s">
        <v>1507</v>
      </c>
    </row>
    <row r="98" spans="1:1">
      <c r="A98" s="437" t="s">
        <v>1104</v>
      </c>
    </row>
    <row r="99" spans="1:1">
      <c r="A99" s="437" t="s">
        <v>1105</v>
      </c>
    </row>
    <row r="101" spans="1:1" ht="78">
      <c r="A101" s="493" t="s">
        <v>1506</v>
      </c>
    </row>
    <row r="102" spans="1:1">
      <c r="A102" s="437"/>
    </row>
    <row r="103" spans="1:1">
      <c r="A103" s="432"/>
    </row>
    <row r="105" spans="1:1">
      <c r="A105" s="439" t="s">
        <v>1106</v>
      </c>
    </row>
    <row r="106" spans="1:1">
      <c r="A106" s="405">
        <v>30</v>
      </c>
    </row>
  </sheetData>
  <phoneticPr fontId="16" type="noConversion"/>
  <hyperlinks>
    <hyperlink ref="A14" r:id="rId1"/>
    <hyperlink ref="A46" r:id="rId2"/>
    <hyperlink ref="A37" r:id="rId3"/>
    <hyperlink ref="A34" r:id="rId4"/>
    <hyperlink ref="A33" r:id="rId5" display="Licensing program summary"/>
  </hyperlinks>
  <pageMargins left="0.7" right="0.7" top="0.75" bottom="0.75" header="0.3" footer="0.3"/>
  <pageSetup orientation="portrait" horizontalDpi="0" verticalDpi="0" r:id="rId6"/>
  <headerFooter>
    <oddHeader>&amp;LA New Dataset on Mobile Phone _x000D_Patent License Royalties&amp;C&amp;"-,Bold"&amp;A&amp;RAugust 2017 Update</oddHeader>
    <oddFooter>&amp;LAlexander Galetovic, Stephen Haber, _x000D_and Lew Zaretzki&amp;C&amp;P of &amp;N</oddFooter>
  </headerFooter>
  <rowBreaks count="1" manualBreakCount="1">
    <brk id="35" max="16383" man="1"/>
  </rowBreaks>
  <extLst>
    <ext xmlns:mx="http://schemas.microsoft.com/office/mac/excel/2008/main" uri="{64002731-A6B0-56B0-2670-7721B7C09600}">
      <mx:PLV Mode="1" OnePage="0" WScale="10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4"/>
  <sheetViews>
    <sheetView showGridLines="0" view="pageLayout" workbookViewId="0">
      <selection activeCell="A46" sqref="A46"/>
    </sheetView>
  </sheetViews>
  <sheetFormatPr baseColWidth="10" defaultRowHeight="15.6"/>
  <cols>
    <col min="1" max="1" width="82.69921875" customWidth="1"/>
  </cols>
  <sheetData>
    <row r="2" spans="1:1">
      <c r="A2" s="143" t="s">
        <v>970</v>
      </c>
    </row>
    <row r="3" spans="1:1" ht="18">
      <c r="A3" s="55" t="str">
        <f>CONCATENATE(VLOOKUP($A$2,'Table of Contents'!$B:$E,4,FALSE)," ",$A$2)</f>
        <v>4.11 Velos Media HEVC</v>
      </c>
    </row>
    <row r="4" spans="1:1">
      <c r="A4" s="262" t="s">
        <v>765</v>
      </c>
    </row>
    <row r="5" spans="1:1">
      <c r="A5" s="54" t="s">
        <v>603</v>
      </c>
    </row>
    <row r="6" spans="1:1">
      <c r="A6" s="260"/>
    </row>
    <row r="7" spans="1:1">
      <c r="A7" s="10" t="s">
        <v>505</v>
      </c>
    </row>
    <row r="8" spans="1:1" ht="31.2">
      <c r="A8" s="329" t="s">
        <v>1508</v>
      </c>
    </row>
    <row r="9" spans="1:1" s="331" customFormat="1">
      <c r="A9" s="329"/>
    </row>
    <row r="10" spans="1:1" ht="62.4">
      <c r="A10" s="329" t="s">
        <v>1509</v>
      </c>
    </row>
    <row r="11" spans="1:1">
      <c r="A11" s="329"/>
    </row>
    <row r="12" spans="1:1">
      <c r="A12" s="10" t="s">
        <v>539</v>
      </c>
    </row>
    <row r="13" spans="1:1" s="331" customFormat="1">
      <c r="A13" s="330" t="s">
        <v>1054</v>
      </c>
    </row>
    <row r="14" spans="1:1" ht="46.8">
      <c r="A14" s="329" t="s">
        <v>1051</v>
      </c>
    </row>
    <row r="15" spans="1:1">
      <c r="A15" s="329"/>
    </row>
    <row r="16" spans="1:1" s="331" customFormat="1" ht="46.8">
      <c r="A16" s="329" t="s">
        <v>1053</v>
      </c>
    </row>
    <row r="17" spans="1:1" s="331" customFormat="1">
      <c r="A17" s="329"/>
    </row>
    <row r="18" spans="1:1" ht="46.8">
      <c r="A18" s="329" t="s">
        <v>1052</v>
      </c>
    </row>
    <row r="19" spans="1:1" s="331" customFormat="1">
      <c r="A19" s="330"/>
    </row>
    <row r="20" spans="1:1" s="331" customFormat="1">
      <c r="A20" s="329" t="s">
        <v>1050</v>
      </c>
    </row>
    <row r="21" spans="1:1">
      <c r="A21" s="67"/>
    </row>
    <row r="22" spans="1:1">
      <c r="A22" s="10" t="s">
        <v>308</v>
      </c>
    </row>
    <row r="23" spans="1:1" ht="31.2">
      <c r="A23" s="329" t="s">
        <v>1046</v>
      </c>
    </row>
    <row r="24" spans="1:1" s="331" customFormat="1">
      <c r="A24" s="329"/>
    </row>
    <row r="25" spans="1:1">
      <c r="A25" t="s">
        <v>1048</v>
      </c>
    </row>
    <row r="26" spans="1:1" s="331" customFormat="1"/>
    <row r="27" spans="1:1">
      <c r="A27" s="329" t="s">
        <v>1047</v>
      </c>
    </row>
    <row r="29" spans="1:1">
      <c r="A29" s="10" t="s">
        <v>538</v>
      </c>
    </row>
    <row r="30" spans="1:1" ht="62.4">
      <c r="A30" s="329" t="s">
        <v>1049</v>
      </c>
    </row>
    <row r="31" spans="1:1">
      <c r="A31" s="329"/>
    </row>
    <row r="32" spans="1:1" ht="49.95" customHeight="1">
      <c r="A32" s="492" t="s">
        <v>1206</v>
      </c>
    </row>
    <row r="34" spans="1:1" ht="31.2">
      <c r="A34" s="329" t="s">
        <v>1055</v>
      </c>
    </row>
  </sheetData>
  <phoneticPr fontId="16" type="noConversion"/>
  <hyperlinks>
    <hyperlink ref="A13" r:id="rId1"/>
  </hyperlinks>
  <pageMargins left="0.7" right="0.7" top="0.75" bottom="0.75" header="0.3" footer="0.3"/>
  <pageSetup orientation="portrait" horizontalDpi="0" verticalDpi="0" r:id="rId2"/>
  <headerFooter>
    <oddHeader>&amp;LA New Dataset on Mobile Phone _x000D_Patent License Royalties&amp;C&amp;"-,Bold"&amp;A&amp;RAugust 2017 Update</oddHeader>
    <oddFooter>&amp;LAlexander Galetovic, Stephen Haber, _x000D_and Lew Zaretzki&amp;C&amp;P of &amp;N</oddFooter>
  </headerFooter>
  <rowBreaks count="1" manualBreakCount="1">
    <brk id="28" max="16383" man="1"/>
  </rowBreaks>
  <extLst>
    <ext xmlns:mx="http://schemas.microsoft.com/office/mac/excel/2008/main" uri="{64002731-A6B0-56B0-2670-7721B7C09600}">
      <mx:PLV Mode="1" OnePage="0" WScale="10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12:A41"/>
  <sheetViews>
    <sheetView showGridLines="0" view="pageLayout" topLeftCell="A4" workbookViewId="0">
      <selection activeCell="A10" sqref="A10"/>
    </sheetView>
  </sheetViews>
  <sheetFormatPr baseColWidth="10" defaultRowHeight="15.6"/>
  <cols>
    <col min="1" max="1" width="75.69921875" customWidth="1"/>
  </cols>
  <sheetData>
    <row r="12" spans="1:1" ht="25.8">
      <c r="A12" s="58" t="s">
        <v>521</v>
      </c>
    </row>
    <row r="13" spans="1:1" ht="25.8">
      <c r="A13" s="58" t="s">
        <v>758</v>
      </c>
    </row>
    <row r="15" spans="1:1">
      <c r="A15" s="538" t="s">
        <v>555</v>
      </c>
    </row>
    <row r="16" spans="1:1">
      <c r="A16" s="551"/>
    </row>
    <row r="17" spans="1:1">
      <c r="A17" s="551"/>
    </row>
    <row r="18" spans="1:1">
      <c r="A18" s="551"/>
    </row>
    <row r="19" spans="1:1">
      <c r="A19" s="551"/>
    </row>
    <row r="20" spans="1:1">
      <c r="A20" s="551"/>
    </row>
    <row r="21" spans="1:1">
      <c r="A21" s="551"/>
    </row>
    <row r="22" spans="1:1">
      <c r="A22" s="551"/>
    </row>
    <row r="23" spans="1:1">
      <c r="A23" s="551"/>
    </row>
    <row r="24" spans="1:1">
      <c r="A24" s="551"/>
    </row>
    <row r="25" spans="1:1">
      <c r="A25" s="551"/>
    </row>
    <row r="26" spans="1:1">
      <c r="A26" s="551"/>
    </row>
    <row r="27" spans="1:1">
      <c r="A27" s="551"/>
    </row>
    <row r="28" spans="1:1">
      <c r="A28" s="551"/>
    </row>
    <row r="29" spans="1:1">
      <c r="A29" s="551"/>
    </row>
    <row r="30" spans="1:1">
      <c r="A30" s="551"/>
    </row>
    <row r="31" spans="1:1">
      <c r="A31" s="551"/>
    </row>
    <row r="32" spans="1:1">
      <c r="A32" s="551"/>
    </row>
    <row r="33" spans="1:1">
      <c r="A33" s="551"/>
    </row>
    <row r="34" spans="1:1">
      <c r="A34" s="551"/>
    </row>
    <row r="35" spans="1:1">
      <c r="A35" s="551"/>
    </row>
    <row r="36" spans="1:1">
      <c r="A36" s="551"/>
    </row>
    <row r="37" spans="1:1">
      <c r="A37" s="551"/>
    </row>
    <row r="38" spans="1:1">
      <c r="A38" s="551"/>
    </row>
    <row r="39" spans="1:1">
      <c r="A39" s="551"/>
    </row>
    <row r="40" spans="1:1">
      <c r="A40" s="551"/>
    </row>
    <row r="41" spans="1:1">
      <c r="A41" s="551"/>
    </row>
  </sheetData>
  <mergeCells count="1">
    <mergeCell ref="A15:A41"/>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Update_x000D_</oddHeader>
    <oddFooter>&amp;LAlexander Galetovic, Stephen Haber, _x000D_and Lew Zaretzki</oddFooter>
  </headerFooter>
  <extLst>
    <ext xmlns:mx="http://schemas.microsoft.com/office/mac/excel/2008/main" uri="{64002731-A6B0-56B0-2670-7721B7C09600}">
      <mx:PLV Mode="1" OnePage="0" WScale="10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0"/>
  <sheetViews>
    <sheetView showGridLines="0" view="pageLayout" workbookViewId="0">
      <selection activeCell="A16" sqref="A7:A16"/>
    </sheetView>
  </sheetViews>
  <sheetFormatPr baseColWidth="10" defaultRowHeight="15.6"/>
  <cols>
    <col min="1" max="1" width="76.69921875" style="36" customWidth="1"/>
  </cols>
  <sheetData>
    <row r="1" spans="1:1">
      <c r="A1" s="188" t="s">
        <v>514</v>
      </c>
    </row>
    <row r="2" spans="1:1" ht="18">
      <c r="A2" s="55" t="str">
        <f>CONCATENATE(VLOOKUP($A$1,'Table of Contents'!$B:$E,4,FALSE)," ",$A$1)</f>
        <v>5.1 SISVEL Wireless</v>
      </c>
    </row>
    <row r="3" spans="1:1">
      <c r="A3" t="str">
        <f>VLOOKUP($A$1,'Table of Contents'!$B:$E,3,FALSE)</f>
        <v>Private Corp</v>
      </c>
    </row>
    <row r="4" spans="1:1">
      <c r="A4" s="54" t="str">
        <f>VLOOKUP($A$1,'Table of Contents'!$B:$E,2,FALSE)</f>
        <v>Researched</v>
      </c>
    </row>
    <row r="6" spans="1:1">
      <c r="A6" s="10" t="s">
        <v>505</v>
      </c>
    </row>
    <row r="7" spans="1:1" ht="46.8">
      <c r="A7" s="36" t="s">
        <v>566</v>
      </c>
    </row>
    <row r="9" spans="1:1" ht="62.4">
      <c r="A9" s="36" t="s">
        <v>572</v>
      </c>
    </row>
    <row r="11" spans="1:1">
      <c r="A11" s="10" t="s">
        <v>539</v>
      </c>
    </row>
    <row r="12" spans="1:1" ht="46.8">
      <c r="A12" s="36" t="s">
        <v>567</v>
      </c>
    </row>
    <row r="13" spans="1:1">
      <c r="A13" s="36" t="s">
        <v>740</v>
      </c>
    </row>
    <row r="14" spans="1:1">
      <c r="A14" s="152"/>
    </row>
    <row r="15" spans="1:1">
      <c r="A15" s="42" t="s">
        <v>577</v>
      </c>
    </row>
    <row r="16" spans="1:1" ht="31.2">
      <c r="A16" s="36" t="s">
        <v>429</v>
      </c>
    </row>
    <row r="17" spans="1:1" ht="62.4">
      <c r="A17" s="36" t="s">
        <v>575</v>
      </c>
    </row>
    <row r="28" spans="1:1" ht="62.4">
      <c r="A28" s="36" t="s">
        <v>576</v>
      </c>
    </row>
    <row r="40" spans="1:1" ht="62.4">
      <c r="A40" s="36" t="s">
        <v>578</v>
      </c>
    </row>
    <row r="42" spans="1:1">
      <c r="A42" s="10" t="s">
        <v>308</v>
      </c>
    </row>
    <row r="43" spans="1:1" ht="31.2">
      <c r="A43" s="36" t="s">
        <v>569</v>
      </c>
    </row>
    <row r="44" spans="1:1" ht="93.6">
      <c r="A44" s="36" t="s">
        <v>570</v>
      </c>
    </row>
    <row r="45" spans="1:1" ht="78">
      <c r="A45" s="36" t="s">
        <v>568</v>
      </c>
    </row>
    <row r="46" spans="1:1" ht="31.2">
      <c r="A46" s="36" t="s">
        <v>428</v>
      </c>
    </row>
    <row r="47" spans="1:1" ht="46.8">
      <c r="A47" s="36" t="s">
        <v>571</v>
      </c>
    </row>
    <row r="49" spans="1:1">
      <c r="A49" s="10" t="s">
        <v>538</v>
      </c>
    </row>
    <row r="50" spans="1:1" ht="62.4">
      <c r="A50" s="36" t="s">
        <v>573</v>
      </c>
    </row>
    <row r="52" spans="1:1" ht="46.8">
      <c r="A52" s="36" t="s">
        <v>574</v>
      </c>
    </row>
    <row r="80" spans="1:1">
      <c r="A80" s="10"/>
    </row>
  </sheetData>
  <phoneticPr fontId="16" type="noConversion"/>
  <hyperlinks>
    <hyperlink ref="A15" r:id="rId1"/>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drawing r:id="rId3"/>
  <extLst>
    <ext xmlns:mx="http://schemas.microsoft.com/office/mac/excel/2008/main" uri="{64002731-A6B0-56B0-2670-7721B7C09600}">
      <mx:PLV Mode="1" OnePage="0" WScale="10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5"/>
  <sheetViews>
    <sheetView showGridLines="0" view="pageLayout" topLeftCell="A20" workbookViewId="0">
      <selection activeCell="A26" sqref="A26:XFD26"/>
    </sheetView>
  </sheetViews>
  <sheetFormatPr baseColWidth="10" defaultRowHeight="15.6"/>
  <cols>
    <col min="1" max="1" width="76.796875" style="36" customWidth="1"/>
  </cols>
  <sheetData>
    <row r="2" spans="1:1">
      <c r="A2" s="188" t="s">
        <v>916</v>
      </c>
    </row>
    <row r="3" spans="1:1" ht="18">
      <c r="A3" s="256" t="str">
        <f>CONCATENATE(VLOOKUP($A$2,'Table of Contents'!$B:$E,4,FALSE)," ",$A$2)</f>
        <v>5.2 IPCom</v>
      </c>
    </row>
    <row r="4" spans="1:1">
      <c r="A4" s="253" t="str">
        <f>VLOOKUP($A$2,'Table of Contents'!$B:$E,3,FALSE)</f>
        <v>Private Corp</v>
      </c>
    </row>
    <row r="5" spans="1:1">
      <c r="A5" s="275" t="str">
        <f>VLOOKUP($A$2,'Table of Contents'!$B:$E,2,FALSE)</f>
        <v>Researched</v>
      </c>
    </row>
    <row r="7" spans="1:1">
      <c r="A7" s="10" t="s">
        <v>505</v>
      </c>
    </row>
    <row r="8" spans="1:1" ht="31.2">
      <c r="A8" s="36" t="s">
        <v>541</v>
      </c>
    </row>
    <row r="10" spans="1:1" ht="31.2">
      <c r="A10" s="36" t="s">
        <v>542</v>
      </c>
    </row>
    <row r="12" spans="1:1" ht="62.4">
      <c r="A12" s="36" t="s">
        <v>543</v>
      </c>
    </row>
    <row r="14" spans="1:1">
      <c r="A14" s="10" t="s">
        <v>308</v>
      </c>
    </row>
    <row r="15" spans="1:1" ht="31.2">
      <c r="A15" s="36" t="s">
        <v>544</v>
      </c>
    </row>
    <row r="17" spans="1:1" ht="78">
      <c r="A17" s="36" t="s">
        <v>530</v>
      </c>
    </row>
    <row r="19" spans="1:1" ht="62.4">
      <c r="A19" s="36" t="s">
        <v>535</v>
      </c>
    </row>
    <row r="21" spans="1:1">
      <c r="A21" s="10" t="s">
        <v>539</v>
      </c>
    </row>
    <row r="22" spans="1:1" ht="46.8">
      <c r="A22" s="42" t="s">
        <v>533</v>
      </c>
    </row>
    <row r="23" spans="1:1">
      <c r="A23" s="42" t="s">
        <v>534</v>
      </c>
    </row>
    <row r="25" spans="1:1" ht="31.2">
      <c r="A25" s="36" t="s">
        <v>545</v>
      </c>
    </row>
    <row r="26" spans="1:1" s="360" customFormat="1">
      <c r="A26" s="490"/>
    </row>
    <row r="27" spans="1:1" s="360" customFormat="1">
      <c r="A27" s="490"/>
    </row>
    <row r="29" spans="1:1">
      <c r="A29" s="10" t="s">
        <v>538</v>
      </c>
    </row>
    <row r="30" spans="1:1">
      <c r="A30" s="36" t="s">
        <v>531</v>
      </c>
    </row>
    <row r="31" spans="1:1">
      <c r="A31" s="36" t="s">
        <v>532</v>
      </c>
    </row>
    <row r="33" spans="1:1" ht="62.4">
      <c r="A33" s="36" t="s">
        <v>546</v>
      </c>
    </row>
    <row r="35" spans="1:1" ht="46.8">
      <c r="A35" s="36" t="s">
        <v>741</v>
      </c>
    </row>
  </sheetData>
  <phoneticPr fontId="16" type="noConversion"/>
  <hyperlinks>
    <hyperlink ref="A22" r:id="rId1"/>
    <hyperlink ref="A23" r:id="rId2"/>
  </hyperlinks>
  <pageMargins left="0.7" right="0.7" top="0.75" bottom="0.75" header="0.3" footer="0.3"/>
  <pageSetup orientation="portrait" horizontalDpi="4294967292" verticalDpi="4294967292" r:id="rId3"/>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6"/>
  <sheetViews>
    <sheetView showGridLines="0" view="pageLayout" workbookViewId="0"/>
  </sheetViews>
  <sheetFormatPr baseColWidth="10" defaultRowHeight="15.6"/>
  <cols>
    <col min="1" max="1" width="76.69921875" style="36" customWidth="1"/>
  </cols>
  <sheetData>
    <row r="2" spans="1:1">
      <c r="A2" s="188" t="s">
        <v>605</v>
      </c>
    </row>
    <row r="3" spans="1:1" ht="18">
      <c r="A3" s="55" t="str">
        <f>CONCATENATE(VLOOKUP($A$2,'Table of Contents'!$B:$E,4,FALSE)," ",$A$2)</f>
        <v>5.3 PanOptis-Optis</v>
      </c>
    </row>
    <row r="4" spans="1:1">
      <c r="A4" t="str">
        <f>VLOOKUP($A$2,'Table of Contents'!$B:$E,3,FALSE)</f>
        <v>Private Corp</v>
      </c>
    </row>
    <row r="5" spans="1:1">
      <c r="A5" s="54" t="str">
        <f>VLOOKUP($A$2,'Table of Contents'!$B:$E,2,FALSE)</f>
        <v>Researched</v>
      </c>
    </row>
    <row r="7" spans="1:1">
      <c r="A7" s="10" t="s">
        <v>505</v>
      </c>
    </row>
    <row r="8" spans="1:1" ht="62.4">
      <c r="A8" s="36" t="s">
        <v>547</v>
      </c>
    </row>
    <row r="10" spans="1:1" ht="31.2">
      <c r="A10" s="36" t="s">
        <v>549</v>
      </c>
    </row>
    <row r="12" spans="1:1">
      <c r="A12" s="10" t="s">
        <v>539</v>
      </c>
    </row>
    <row r="13" spans="1:1" ht="31.2">
      <c r="A13" s="36" t="s">
        <v>553</v>
      </c>
    </row>
    <row r="15" spans="1:1" ht="31.2">
      <c r="A15" s="42" t="s">
        <v>537</v>
      </c>
    </row>
    <row r="17" spans="1:1">
      <c r="A17" s="10" t="s">
        <v>308</v>
      </c>
    </row>
    <row r="18" spans="1:1" ht="46.8">
      <c r="A18" s="36" t="s">
        <v>552</v>
      </c>
    </row>
    <row r="19" spans="1:1" ht="31.2">
      <c r="A19" s="36" t="s">
        <v>536</v>
      </c>
    </row>
    <row r="21" spans="1:1" ht="31.2">
      <c r="A21" s="36" t="s">
        <v>548</v>
      </c>
    </row>
    <row r="23" spans="1:1">
      <c r="A23" s="10" t="s">
        <v>538</v>
      </c>
    </row>
    <row r="24" spans="1:1" ht="62.4">
      <c r="A24" s="36" t="s">
        <v>550</v>
      </c>
    </row>
    <row r="26" spans="1:1" ht="46.8">
      <c r="A26" s="36" t="s">
        <v>551</v>
      </c>
    </row>
  </sheetData>
  <phoneticPr fontId="16" type="noConversion"/>
  <hyperlinks>
    <hyperlink ref="A15" r:id="rId1" location="!search/profile/company?companyId=347378525&amp;targetid=profile" display="Zoominfo states that it has only 1 to 5 million per year in revenue."/>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2"/>
  <sheetViews>
    <sheetView showGridLines="0" view="pageLayout" topLeftCell="A22" zoomScale="101" zoomScalePageLayoutView="101" workbookViewId="0">
      <selection activeCell="A27" sqref="A27"/>
    </sheetView>
  </sheetViews>
  <sheetFormatPr baseColWidth="10" defaultRowHeight="15.6"/>
  <cols>
    <col min="1" max="1" width="78.796875" style="36" customWidth="1"/>
    <col min="2" max="2" width="67" customWidth="1"/>
  </cols>
  <sheetData>
    <row r="2" spans="1:1">
      <c r="A2" s="188" t="s">
        <v>435</v>
      </c>
    </row>
    <row r="3" spans="1:1" ht="18">
      <c r="A3" s="55" t="str">
        <f>CONCATENATE(VLOOKUP($A$2,'Table of Contents'!$B:$E,4,FALSE)," ",$A$2)</f>
        <v>5.4 IP Bridge</v>
      </c>
    </row>
    <row r="4" spans="1:1">
      <c r="A4" t="str">
        <f>VLOOKUP($A$2,'Table of Contents'!$B:$E,3,FALSE)</f>
        <v>Private Corp</v>
      </c>
    </row>
    <row r="5" spans="1:1">
      <c r="A5" s="54" t="str">
        <f>VLOOKUP($A$2,'Table of Contents'!$B:$E,2,FALSE)</f>
        <v>Researched</v>
      </c>
    </row>
    <row r="7" spans="1:1">
      <c r="A7" s="10" t="s">
        <v>505</v>
      </c>
    </row>
    <row r="8" spans="1:1" ht="62.4">
      <c r="A8" s="36" t="s">
        <v>556</v>
      </c>
    </row>
    <row r="9" spans="1:1" ht="31.2">
      <c r="A9" s="36" t="s">
        <v>557</v>
      </c>
    </row>
    <row r="10" spans="1:1" ht="46.8">
      <c r="A10" s="36" t="s">
        <v>564</v>
      </c>
    </row>
    <row r="12" spans="1:1" ht="61.95" customHeight="1">
      <c r="A12" s="36" t="s">
        <v>565</v>
      </c>
    </row>
    <row r="14" spans="1:1">
      <c r="A14" s="10" t="s">
        <v>539</v>
      </c>
    </row>
    <row r="15" spans="1:1" ht="31.2">
      <c r="A15" s="36" t="s">
        <v>559</v>
      </c>
    </row>
    <row r="16" spans="1:1" ht="46.8">
      <c r="A16" s="36" t="s">
        <v>560</v>
      </c>
    </row>
    <row r="18" spans="1:1">
      <c r="A18" s="10" t="s">
        <v>308</v>
      </c>
    </row>
    <row r="19" spans="1:1" ht="62.4">
      <c r="A19" s="62" t="s">
        <v>561</v>
      </c>
    </row>
    <row r="20" spans="1:1" ht="78">
      <c r="A20" s="62" t="s">
        <v>562</v>
      </c>
    </row>
    <row r="21" spans="1:1">
      <c r="A21" s="10"/>
    </row>
    <row r="22" spans="1:1" ht="31.2">
      <c r="A22" s="62" t="s">
        <v>563</v>
      </c>
    </row>
    <row r="23" spans="1:1">
      <c r="A23" s="10"/>
    </row>
    <row r="25" spans="1:1">
      <c r="A25" s="10" t="s">
        <v>538</v>
      </c>
    </row>
    <row r="26" spans="1:1" ht="46.8">
      <c r="A26" s="36" t="s">
        <v>1520</v>
      </c>
    </row>
    <row r="28" spans="1:1" ht="31.2">
      <c r="A28" s="36" t="s">
        <v>558</v>
      </c>
    </row>
    <row r="59" spans="1:1">
      <c r="A59" s="10"/>
    </row>
    <row r="60" spans="1:1">
      <c r="A60" s="10"/>
    </row>
    <row r="61" spans="1:1">
      <c r="A61" s="10"/>
    </row>
    <row r="62" spans="1:1">
      <c r="A62" s="10"/>
    </row>
  </sheetData>
  <sortState ref="A14:I30">
    <sortCondition ref="A14:A30"/>
  </sortState>
  <phoneticPr fontId="16" type="noConversion"/>
  <pageMargins left="0.7" right="0.7" top="0.75" bottom="0.75" header="0.3" footer="0.3"/>
  <pageSetup orientation="portrait" horizontalDpi="4294967292" verticalDpi="4294967292" r:id="rId1"/>
  <headerFooter>
    <oddHeader>&amp;LA New Dataset on Mobile Phone _x000D_Patent License Royalties&amp;C&amp;"-,Bold"&amp;A&amp;RAugust 2017 Update</oddHeader>
    <oddFooter>&amp;LAlexander Galetovic, _x000D_Stephen Haber, and Lew Zaretzki&amp;C&amp;P of &amp;N</oddFooter>
  </headerFooter>
  <extLst>
    <ext xmlns:mx="http://schemas.microsoft.com/office/mac/excel/2008/main" uri="{64002731-A6B0-56B0-2670-7721B7C09600}">
      <mx:PLV Mode="1" OnePage="0" WScale="10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8"/>
  <sheetViews>
    <sheetView showGridLines="0" view="pageLayout" topLeftCell="A43" workbookViewId="0">
      <selection activeCell="A43" sqref="A43"/>
    </sheetView>
  </sheetViews>
  <sheetFormatPr baseColWidth="10" defaultRowHeight="15.6"/>
  <cols>
    <col min="1" max="1" width="85.19921875" style="36" customWidth="1"/>
  </cols>
  <sheetData>
    <row r="2" spans="1:1">
      <c r="A2" s="188" t="s">
        <v>462</v>
      </c>
    </row>
    <row r="3" spans="1:1" ht="18">
      <c r="A3" s="55" t="str">
        <f>CONCATENATE(VLOOKUP($A$2,'Table of Contents'!$B:$E,4,FALSE)," ",$A$2)</f>
        <v>5.5 Intellectual Ventures</v>
      </c>
    </row>
    <row r="4" spans="1:1">
      <c r="A4" t="str">
        <f>VLOOKUP($A$2,'Table of Contents'!$B:$E,3,FALSE)</f>
        <v>Private Corp</v>
      </c>
    </row>
    <row r="5" spans="1:1">
      <c r="A5" s="54" t="str">
        <f>VLOOKUP($A$2,'Table of Contents'!$B:$E,2,FALSE)</f>
        <v>Researched</v>
      </c>
    </row>
    <row r="6" spans="1:1">
      <c r="A6" s="10"/>
    </row>
    <row r="7" spans="1:1">
      <c r="A7" s="10" t="s">
        <v>505</v>
      </c>
    </row>
    <row r="8" spans="1:1" ht="31.2">
      <c r="A8" s="42" t="s">
        <v>696</v>
      </c>
    </row>
    <row r="9" spans="1:1">
      <c r="A9" s="10"/>
    </row>
    <row r="10" spans="1:1">
      <c r="A10" s="10" t="s">
        <v>539</v>
      </c>
    </row>
    <row r="11" spans="1:1" ht="31.2">
      <c r="A11" s="42" t="s">
        <v>695</v>
      </c>
    </row>
    <row r="12" spans="1:1">
      <c r="A12" s="559" t="s">
        <v>1389</v>
      </c>
    </row>
    <row r="13" spans="1:1">
      <c r="A13" s="559"/>
    </row>
    <row r="14" spans="1:1">
      <c r="A14" s="559"/>
    </row>
    <row r="15" spans="1:1">
      <c r="A15" s="559"/>
    </row>
    <row r="16" spans="1:1">
      <c r="A16" s="559"/>
    </row>
    <row r="17" spans="1:1">
      <c r="A17" s="559"/>
    </row>
    <row r="18" spans="1:1">
      <c r="A18" s="559"/>
    </row>
    <row r="19" spans="1:1">
      <c r="A19" s="559" t="s">
        <v>742</v>
      </c>
    </row>
    <row r="20" spans="1:1">
      <c r="A20" s="559"/>
    </row>
    <row r="21" spans="1:1">
      <c r="A21" s="559"/>
    </row>
    <row r="22" spans="1:1">
      <c r="A22" s="559"/>
    </row>
    <row r="23" spans="1:1">
      <c r="A23" s="559"/>
    </row>
    <row r="24" spans="1:1">
      <c r="A24" s="559"/>
    </row>
    <row r="25" spans="1:1">
      <c r="A25" s="559"/>
    </row>
    <row r="26" spans="1:1">
      <c r="A26" s="152"/>
    </row>
    <row r="27" spans="1:1" ht="31.2">
      <c r="A27" s="62" t="s">
        <v>1353</v>
      </c>
    </row>
    <row r="28" spans="1:1" s="360" customFormat="1">
      <c r="A28" s="392"/>
    </row>
    <row r="29" spans="1:1" s="360" customFormat="1" ht="31.2">
      <c r="A29" s="392" t="s">
        <v>1352</v>
      </c>
    </row>
    <row r="30" spans="1:1" s="360" customFormat="1">
      <c r="A30" s="392"/>
    </row>
    <row r="31" spans="1:1" ht="31.2">
      <c r="A31" s="36" t="s">
        <v>692</v>
      </c>
    </row>
    <row r="32" spans="1:1">
      <c r="A32" s="152"/>
    </row>
    <row r="33" spans="1:1" ht="78">
      <c r="A33" s="152" t="s">
        <v>743</v>
      </c>
    </row>
    <row r="34" spans="1:1">
      <c r="A34" s="152"/>
    </row>
    <row r="35" spans="1:1">
      <c r="A35" s="152" t="s">
        <v>1354</v>
      </c>
    </row>
    <row r="36" spans="1:1">
      <c r="A36" s="152" t="s">
        <v>1355</v>
      </c>
    </row>
    <row r="37" spans="1:1" ht="31.2">
      <c r="A37" s="152" t="s">
        <v>744</v>
      </c>
    </row>
    <row r="38" spans="1:1">
      <c r="A38" s="152"/>
    </row>
    <row r="39" spans="1:1" ht="31.2">
      <c r="A39" s="152" t="s">
        <v>745</v>
      </c>
    </row>
    <row r="40" spans="1:1">
      <c r="A40" s="152"/>
    </row>
    <row r="42" spans="1:1">
      <c r="A42" s="10" t="s">
        <v>538</v>
      </c>
    </row>
    <row r="43" spans="1:1" ht="46.8">
      <c r="A43" s="118" t="s">
        <v>1521</v>
      </c>
    </row>
    <row r="44" spans="1:1">
      <c r="A44" s="118"/>
    </row>
    <row r="45" spans="1:1">
      <c r="A45" s="10" t="s">
        <v>308</v>
      </c>
    </row>
    <row r="46" spans="1:1" ht="31.2">
      <c r="A46" s="42" t="s">
        <v>693</v>
      </c>
    </row>
    <row r="47" spans="1:1" ht="93.6">
      <c r="A47" s="36" t="s">
        <v>694</v>
      </c>
    </row>
    <row r="49" spans="1:1">
      <c r="A49" s="36" t="s">
        <v>467</v>
      </c>
    </row>
    <row r="50" spans="1:1">
      <c r="A50" s="77" t="s">
        <v>697</v>
      </c>
    </row>
    <row r="51" spans="1:1">
      <c r="A51" s="77" t="s">
        <v>468</v>
      </c>
    </row>
    <row r="52" spans="1:1">
      <c r="A52" s="77" t="s">
        <v>469</v>
      </c>
    </row>
    <row r="53" spans="1:1">
      <c r="A53" s="77" t="s">
        <v>470</v>
      </c>
    </row>
    <row r="54" spans="1:1">
      <c r="A54" s="77" t="s">
        <v>471</v>
      </c>
    </row>
    <row r="55" spans="1:1">
      <c r="A55" s="77" t="s">
        <v>472</v>
      </c>
    </row>
    <row r="56" spans="1:1">
      <c r="A56" s="77" t="s">
        <v>473</v>
      </c>
    </row>
    <row r="58" spans="1:1">
      <c r="A58" s="10"/>
    </row>
    <row r="88" spans="1:1">
      <c r="A88" s="118"/>
    </row>
    <row r="89" spans="1:1">
      <c r="A89" s="118"/>
    </row>
    <row r="90" spans="1:1">
      <c r="A90" s="118"/>
    </row>
    <row r="91" spans="1:1">
      <c r="A91" s="118"/>
    </row>
    <row r="92" spans="1:1">
      <c r="A92" s="118"/>
    </row>
    <row r="93" spans="1:1">
      <c r="A93" s="118"/>
    </row>
    <row r="94" spans="1:1">
      <c r="A94" s="118"/>
    </row>
    <row r="96" spans="1:1">
      <c r="A96" s="118"/>
    </row>
    <row r="97" spans="1:1">
      <c r="A97" s="118"/>
    </row>
    <row r="98" spans="1:1">
      <c r="A98" s="118"/>
    </row>
    <row r="99" spans="1:1">
      <c r="A99" s="118"/>
    </row>
    <row r="100" spans="1:1">
      <c r="A100" s="118"/>
    </row>
    <row r="108" spans="1:1">
      <c r="A108" s="39"/>
    </row>
  </sheetData>
  <mergeCells count="2">
    <mergeCell ref="A12:A18"/>
    <mergeCell ref="A19:A25"/>
  </mergeCells>
  <phoneticPr fontId="16" type="noConversion"/>
  <hyperlinks>
    <hyperlink ref="A8" r:id="rId1" display="&quot;Intellectual Ventures (IV) is a privately-held invention capital company with one of the world’s largest and fastest growing invention portfolios… To date, we have raised more than $6 billion in investor capital with cumulative licensing revenues exceedi"/>
    <hyperlink ref="A46" r:id="rId2"/>
    <hyperlink ref="A11" r:id="rId3" display="&quot;Intellectual Ventures (IV) is a privately-held invention capital company with one of the world’s largest and fastest growing invention portfolios… To date, we have raised more than $6 billion in investor capital with cumulative licensing revenues exceedi"/>
  </hyperlinks>
  <pageMargins left="0.7" right="0.7" top="0.75" bottom="0.75" header="0.3" footer="0.3"/>
  <pageSetup orientation="portrait" horizontalDpi="4294967292" verticalDpi="4294967292" r:id="rId4"/>
  <headerFooter>
    <oddHeader>&amp;LA New Dataset on Mobile Phone _x000D_Patent License Royalties&amp;C&amp;"-,Bold"&amp;A&amp;RAugust 2017 Update</oddHeader>
    <oddFooter>&amp;LAlexander Galetovic, _x000D_Stephen Haber, and Lew Zaretzki&amp;C&amp;P of &amp;N</oddFooter>
  </headerFooter>
  <extLst>
    <ext xmlns:mx="http://schemas.microsoft.com/office/mac/excel/2008/main" uri="{64002731-A6B0-56B0-2670-7721B7C09600}">
      <mx:PLV Mode="1" OnePage="0" WScale="10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9"/>
  <sheetViews>
    <sheetView showGridLines="0" view="pageLayout" topLeftCell="A11" workbookViewId="0">
      <selection activeCell="A30" sqref="A30"/>
    </sheetView>
  </sheetViews>
  <sheetFormatPr baseColWidth="10" defaultRowHeight="15.6"/>
  <cols>
    <col min="1" max="1" width="77.296875" style="36" customWidth="1"/>
  </cols>
  <sheetData>
    <row r="2" spans="1:2">
      <c r="A2" s="188" t="s">
        <v>33</v>
      </c>
    </row>
    <row r="3" spans="1:2" ht="18">
      <c r="A3" s="53" t="str">
        <f>CONCATENATE(VLOOKUP($A$2,'Table of Contents'!$B:$E,4,FALSE)," ",$A$2)</f>
        <v>5.6 Huawei</v>
      </c>
    </row>
    <row r="4" spans="1:2">
      <c r="A4" t="str">
        <f>VLOOKUP($A$2,'Table of Contents'!$B:$E,3,FALSE)</f>
        <v>Private Corp</v>
      </c>
    </row>
    <row r="5" spans="1:2">
      <c r="A5" s="54" t="str">
        <f>VLOOKUP($A$2,'Table of Contents'!$B:$E,2,FALSE)</f>
        <v>Approximated</v>
      </c>
    </row>
    <row r="6" spans="1:2">
      <c r="A6" s="41"/>
    </row>
    <row r="7" spans="1:2">
      <c r="A7" s="519" t="s">
        <v>505</v>
      </c>
    </row>
    <row r="8" spans="1:2" ht="78">
      <c r="A8" s="525" t="s">
        <v>1372</v>
      </c>
      <c r="B8" s="107"/>
    </row>
    <row r="9" spans="1:2">
      <c r="A9" s="525"/>
      <c r="B9" s="6"/>
    </row>
    <row r="10" spans="1:2">
      <c r="A10" s="526" t="s">
        <v>539</v>
      </c>
    </row>
    <row r="11" spans="1:2" ht="93.6">
      <c r="A11" s="525" t="s">
        <v>662</v>
      </c>
    </row>
    <row r="12" spans="1:2">
      <c r="A12" s="492"/>
    </row>
    <row r="13" spans="1:2" ht="34.799999999999997" customHeight="1">
      <c r="A13" s="525" t="s">
        <v>663</v>
      </c>
    </row>
    <row r="14" spans="1:2">
      <c r="A14" s="526"/>
    </row>
    <row r="15" spans="1:2" ht="78">
      <c r="A15" s="492" t="s">
        <v>664</v>
      </c>
    </row>
    <row r="16" spans="1:2" s="360" customFormat="1">
      <c r="A16" s="492"/>
    </row>
    <row r="17" spans="1:2" s="360" customFormat="1" ht="67.8" customHeight="1">
      <c r="A17" s="492" t="s">
        <v>1379</v>
      </c>
    </row>
    <row r="18" spans="1:2" s="360" customFormat="1">
      <c r="A18" s="492"/>
    </row>
    <row r="19" spans="1:2" s="360" customFormat="1">
      <c r="A19" s="492"/>
    </row>
    <row r="20" spans="1:2" s="360" customFormat="1">
      <c r="A20" s="492"/>
    </row>
    <row r="21" spans="1:2" s="360" customFormat="1">
      <c r="A21" s="492"/>
    </row>
    <row r="22" spans="1:2" s="360" customFormat="1">
      <c r="A22" s="492"/>
    </row>
    <row r="23" spans="1:2" s="360" customFormat="1">
      <c r="A23" s="492"/>
    </row>
    <row r="24" spans="1:2" s="360" customFormat="1">
      <c r="A24" s="492"/>
    </row>
    <row r="25" spans="1:2" s="360" customFormat="1">
      <c r="A25" s="492"/>
    </row>
    <row r="26" spans="1:2" s="360" customFormat="1">
      <c r="A26" s="492"/>
    </row>
    <row r="27" spans="1:2">
      <c r="A27" s="492"/>
    </row>
    <row r="28" spans="1:2">
      <c r="A28" s="519" t="s">
        <v>308</v>
      </c>
      <c r="B28" s="6"/>
    </row>
    <row r="29" spans="1:2">
      <c r="A29" s="527" t="s">
        <v>665</v>
      </c>
    </row>
    <row r="30" spans="1:2" ht="109.2">
      <c r="A30" s="492" t="s">
        <v>666</v>
      </c>
    </row>
    <row r="31" spans="1:2" s="360" customFormat="1">
      <c r="A31" s="492"/>
    </row>
    <row r="32" spans="1:2">
      <c r="A32" s="492"/>
    </row>
    <row r="33" spans="1:1">
      <c r="A33" s="528"/>
    </row>
    <row r="34" spans="1:1" s="360" customFormat="1">
      <c r="A34" s="528"/>
    </row>
    <row r="35" spans="1:1" s="360" customFormat="1">
      <c r="A35" s="528" t="s">
        <v>1378</v>
      </c>
    </row>
    <row r="36" spans="1:1" s="360" customFormat="1">
      <c r="A36" s="528"/>
    </row>
    <row r="37" spans="1:1">
      <c r="A37" s="527" t="s">
        <v>1377</v>
      </c>
    </row>
    <row r="38" spans="1:1" ht="31.2">
      <c r="A38" s="527" t="s">
        <v>1376</v>
      </c>
    </row>
    <row r="39" spans="1:1" ht="31.2">
      <c r="A39" s="527" t="s">
        <v>1375</v>
      </c>
    </row>
    <row r="40" spans="1:1">
      <c r="A40" s="527" t="s">
        <v>1374</v>
      </c>
    </row>
    <row r="41" spans="1:1">
      <c r="A41" s="492"/>
    </row>
    <row r="42" spans="1:1">
      <c r="A42" s="519" t="s">
        <v>538</v>
      </c>
    </row>
    <row r="43" spans="1:1" ht="46.8">
      <c r="A43" s="492" t="s">
        <v>1373</v>
      </c>
    </row>
    <row r="44" spans="1:1">
      <c r="A44" s="492"/>
    </row>
    <row r="45" spans="1:1">
      <c r="A45" s="492"/>
    </row>
    <row r="46" spans="1:1">
      <c r="A46" s="492"/>
    </row>
    <row r="47" spans="1:1">
      <c r="A47" s="492"/>
    </row>
    <row r="48" spans="1:1">
      <c r="A48" s="492"/>
    </row>
    <row r="49" spans="1:1">
      <c r="A49" s="76"/>
    </row>
    <row r="50" spans="1:1">
      <c r="A50" s="76"/>
    </row>
    <row r="54" spans="1:1">
      <c r="A54" s="76"/>
    </row>
    <row r="55" spans="1:1">
      <c r="A55" s="76"/>
    </row>
    <row r="56" spans="1:1">
      <c r="A56" s="76"/>
    </row>
    <row r="58" spans="1:1">
      <c r="A58" s="76"/>
    </row>
    <row r="59" spans="1:1">
      <c r="A59" s="76"/>
    </row>
  </sheetData>
  <phoneticPr fontId="16" type="noConversion"/>
  <hyperlinks>
    <hyperlink ref="A29" r:id="rId1" display="This information is consistent with a a May 10 2016 artice in IAM, which stated that:"/>
    <hyperlink ref="A40" r:id="rId2"/>
    <hyperlink ref="A39" r:id="rId3"/>
    <hyperlink ref="A38" r:id="rId4"/>
    <hyperlink ref="A37" r:id="rId5"/>
  </hyperlinks>
  <pageMargins left="0.7" right="0.7" top="0.75" bottom="0.75" header="0.3" footer="0.3"/>
  <pageSetup orientation="portrait" horizontalDpi="4294967292" verticalDpi="4294967292" r:id="rId6"/>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22"/>
  <sheetViews>
    <sheetView showGridLines="0" showWhiteSpace="0" view="pageLayout" topLeftCell="A85" zoomScale="110" zoomScalePageLayoutView="110" workbookViewId="0">
      <selection activeCell="A91" sqref="A91"/>
    </sheetView>
  </sheetViews>
  <sheetFormatPr baseColWidth="10" defaultRowHeight="15.6"/>
  <cols>
    <col min="1" max="1" width="76.69921875" style="36" customWidth="1"/>
  </cols>
  <sheetData>
    <row r="2" spans="1:1">
      <c r="A2" s="188" t="s">
        <v>503</v>
      </c>
    </row>
    <row r="3" spans="1:1" ht="18">
      <c r="A3" s="55" t="str">
        <f>CONCATENATE(VLOOKUP($A$2,'Table of Contents'!$B:$E,4,FALSE)," ",$A$2)</f>
        <v>1.1 Introduction</v>
      </c>
    </row>
    <row r="4" spans="1:1" ht="46.8">
      <c r="A4" s="36" t="s">
        <v>726</v>
      </c>
    </row>
    <row r="5" spans="1:1" ht="62.4">
      <c r="A5" s="36" t="s">
        <v>1402</v>
      </c>
    </row>
    <row r="7" spans="1:1" ht="31.2">
      <c r="A7" s="50" t="s">
        <v>874</v>
      </c>
    </row>
    <row r="8" spans="1:1" ht="31.2">
      <c r="A8" s="169" t="s">
        <v>850</v>
      </c>
    </row>
    <row r="9" spans="1:1" s="239" customFormat="1">
      <c r="A9" s="169"/>
    </row>
    <row r="10" spans="1:1">
      <c r="A10" s="65" t="s">
        <v>851</v>
      </c>
    </row>
    <row r="11" spans="1:1" ht="93.6">
      <c r="A11" s="233" t="s">
        <v>1403</v>
      </c>
    </row>
    <row r="12" spans="1:1" ht="124.8">
      <c r="A12" s="50" t="s">
        <v>852</v>
      </c>
    </row>
    <row r="13" spans="1:1">
      <c r="A13" s="50"/>
    </row>
    <row r="14" spans="1:1" ht="78">
      <c r="A14" s="237" t="s">
        <v>1404</v>
      </c>
    </row>
    <row r="15" spans="1:1">
      <c r="A15" s="237"/>
    </row>
    <row r="16" spans="1:1" ht="78">
      <c r="A16" s="242" t="s">
        <v>853</v>
      </c>
    </row>
    <row r="17" spans="1:1">
      <c r="A17" s="50"/>
    </row>
    <row r="18" spans="1:1">
      <c r="A18" s="65" t="s">
        <v>854</v>
      </c>
    </row>
    <row r="19" spans="1:1" ht="140.4">
      <c r="A19" s="50" t="s">
        <v>855</v>
      </c>
    </row>
    <row r="20" spans="1:1">
      <c r="A20" s="50"/>
    </row>
    <row r="21" spans="1:1" ht="124.8">
      <c r="A21" s="50" t="s">
        <v>1525</v>
      </c>
    </row>
    <row r="22" spans="1:1">
      <c r="A22" s="50"/>
    </row>
    <row r="23" spans="1:1" ht="62.4">
      <c r="A23" s="50" t="s">
        <v>856</v>
      </c>
    </row>
    <row r="24" spans="1:1">
      <c r="A24" s="50"/>
    </row>
    <row r="25" spans="1:1" ht="140.4">
      <c r="A25" s="36" t="s">
        <v>857</v>
      </c>
    </row>
    <row r="26" spans="1:1">
      <c r="A26" s="40"/>
    </row>
    <row r="27" spans="1:1">
      <c r="A27" s="40"/>
    </row>
    <row r="29" spans="1:1" ht="124.8">
      <c r="A29" s="242" t="s">
        <v>858</v>
      </c>
    </row>
    <row r="30" spans="1:1">
      <c r="A30" s="50"/>
    </row>
    <row r="31" spans="1:1">
      <c r="A31" s="243" t="s">
        <v>859</v>
      </c>
    </row>
    <row r="32" spans="1:1" ht="124.8">
      <c r="A32" s="50" t="s">
        <v>860</v>
      </c>
    </row>
    <row r="33" spans="1:1">
      <c r="A33" s="50"/>
    </row>
    <row r="34" spans="1:1" ht="78">
      <c r="A34" s="233" t="s">
        <v>861</v>
      </c>
    </row>
    <row r="35" spans="1:1" s="241" customFormat="1">
      <c r="A35" s="233"/>
    </row>
    <row r="36" spans="1:1">
      <c r="A36" s="244" t="s">
        <v>862</v>
      </c>
    </row>
    <row r="37" spans="1:1" ht="258" customHeight="1">
      <c r="A37" s="233" t="s">
        <v>1405</v>
      </c>
    </row>
    <row r="38" spans="1:1" ht="247.95" customHeight="1">
      <c r="A38" s="248" t="s">
        <v>873</v>
      </c>
    </row>
    <row r="39" spans="1:1">
      <c r="A39" s="50"/>
    </row>
    <row r="40" spans="1:1" ht="140.4">
      <c r="A40" s="40" t="s">
        <v>863</v>
      </c>
    </row>
    <row r="41" spans="1:1">
      <c r="A41"/>
    </row>
    <row r="42" spans="1:1">
      <c r="A42" s="51" t="s">
        <v>864</v>
      </c>
    </row>
    <row r="43" spans="1:1" s="227" customFormat="1" ht="218.4">
      <c r="A43" s="40" t="s">
        <v>865</v>
      </c>
    </row>
    <row r="44" spans="1:1">
      <c r="A44"/>
    </row>
    <row r="46" spans="1:1" s="247" customFormat="1">
      <c r="A46" s="246"/>
    </row>
    <row r="47" spans="1:1">
      <c r="A47" s="9" t="s">
        <v>866</v>
      </c>
    </row>
    <row r="48" spans="1:1" ht="46.8">
      <c r="A48" s="233" t="s">
        <v>1406</v>
      </c>
    </row>
    <row r="49" spans="1:1">
      <c r="A49" s="233"/>
    </row>
    <row r="50" spans="1:1" ht="109.2">
      <c r="A50" s="233" t="s">
        <v>1407</v>
      </c>
    </row>
    <row r="51" spans="1:1" s="360" customFormat="1">
      <c r="A51" s="233"/>
    </row>
    <row r="52" spans="1:1" ht="140.4">
      <c r="A52" s="233" t="s">
        <v>867</v>
      </c>
    </row>
    <row r="53" spans="1:1" ht="93.6">
      <c r="A53" s="245" t="s">
        <v>1408</v>
      </c>
    </row>
    <row r="54" spans="1:1">
      <c r="A54"/>
    </row>
    <row r="55" spans="1:1" ht="140.4">
      <c r="A55" s="245" t="s">
        <v>868</v>
      </c>
    </row>
    <row r="56" spans="1:1">
      <c r="A56"/>
    </row>
    <row r="57" spans="1:1" ht="211.95" customHeight="1">
      <c r="A57" s="236" t="s">
        <v>872</v>
      </c>
    </row>
    <row r="58" spans="1:1">
      <c r="A58"/>
    </row>
    <row r="59" spans="1:1" s="360" customFormat="1">
      <c r="A59" s="9" t="s">
        <v>869</v>
      </c>
    </row>
    <row r="60" spans="1:1">
      <c r="A60" s="9" t="s">
        <v>1411</v>
      </c>
    </row>
    <row r="61" spans="1:1" ht="78">
      <c r="A61" s="238" t="s">
        <v>1410</v>
      </c>
    </row>
    <row r="62" spans="1:1" ht="78">
      <c r="A62" s="238" t="s">
        <v>1409</v>
      </c>
    </row>
    <row r="63" spans="1:1">
      <c r="A63"/>
    </row>
    <row r="64" spans="1:1" ht="109.2">
      <c r="A64" s="238" t="s">
        <v>1526</v>
      </c>
    </row>
    <row r="65" spans="1:1" s="241" customFormat="1">
      <c r="A65" s="240"/>
    </row>
    <row r="66" spans="1:1" s="241" customFormat="1">
      <c r="A66" s="240"/>
    </row>
    <row r="67" spans="1:1">
      <c r="A67"/>
    </row>
    <row r="68" spans="1:1" s="241" customFormat="1"/>
    <row r="69" spans="1:1" s="241" customFormat="1"/>
    <row r="70" spans="1:1" s="241" customFormat="1"/>
    <row r="71" spans="1:1" s="241" customFormat="1"/>
    <row r="72" spans="1:1" s="241" customFormat="1"/>
    <row r="73" spans="1:1" ht="109.2">
      <c r="A73" s="238" t="s">
        <v>1412</v>
      </c>
    </row>
    <row r="74" spans="1:1" s="360" customFormat="1">
      <c r="A74" s="462"/>
    </row>
    <row r="75" spans="1:1" s="360" customFormat="1">
      <c r="A75" s="473" t="s">
        <v>1413</v>
      </c>
    </row>
    <row r="76" spans="1:1" s="360" customFormat="1" ht="78">
      <c r="A76" s="462" t="s">
        <v>1414</v>
      </c>
    </row>
    <row r="77" spans="1:1" s="360" customFormat="1">
      <c r="A77" s="462"/>
    </row>
    <row r="78" spans="1:1" s="360" customFormat="1" ht="78">
      <c r="A78" s="462" t="s">
        <v>1527</v>
      </c>
    </row>
    <row r="79" spans="1:1" s="360" customFormat="1">
      <c r="A79" s="462"/>
    </row>
    <row r="80" spans="1:1" s="230" customFormat="1">
      <c r="A80" s="238"/>
    </row>
    <row r="81" spans="1:1">
      <c r="A81" s="9" t="s">
        <v>870</v>
      </c>
    </row>
    <row r="82" spans="1:1" ht="109.2">
      <c r="A82" s="238" t="s">
        <v>1415</v>
      </c>
    </row>
    <row r="83" spans="1:1">
      <c r="A83"/>
    </row>
    <row r="84" spans="1:1" ht="140.4">
      <c r="A84" s="238" t="s">
        <v>1528</v>
      </c>
    </row>
    <row r="85" spans="1:1">
      <c r="A85"/>
    </row>
    <row r="86" spans="1:1" ht="140.4">
      <c r="A86" s="238" t="s">
        <v>1416</v>
      </c>
    </row>
    <row r="87" spans="1:1">
      <c r="A87"/>
    </row>
    <row r="88" spans="1:1" ht="78">
      <c r="A88" s="238" t="s">
        <v>1529</v>
      </c>
    </row>
    <row r="89" spans="1:1">
      <c r="A89" s="238"/>
    </row>
    <row r="90" spans="1:1">
      <c r="A90" s="9" t="s">
        <v>871</v>
      </c>
    </row>
    <row r="91" spans="1:1" ht="171.6">
      <c r="A91" s="238" t="s">
        <v>1417</v>
      </c>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sheetData>
  <phoneticPr fontId="16" type="noConversion"/>
  <hyperlinks>
    <hyperlink ref="A8" r:id="rId1" display="See, Keith Mailinson, &quot; Cumulative Mobile-SEP Royalty Payments No More than Around 5% of Mobile Handset Revenues,&quot; IP Finance, August 19, 2015. "/>
  </hyperlinks>
  <pageMargins left="0.7" right="0.7" top="0.75" bottom="0.75" header="0.3" footer="0.3"/>
  <pageSetup orientation="portrait" horizontalDpi="4294967292" verticalDpi="4294967292" r:id="rId2"/>
  <headerFooter>
    <oddHeader>&amp;LA New Dataset on Mobile Phone _x000D_Patent License Royalties&amp;C&amp;A&amp;RAugust 2017 Update</oddHeader>
    <oddFooter>&amp;LAlexander Galetovic, Stephen Haber, _x000D_and Lew Zaretzki&amp;C&amp;P of &amp;N</oddFooter>
  </headerFooter>
  <rowBreaks count="1" manualBreakCount="1">
    <brk id="37" max="16383" man="1"/>
  </rowBreaks>
  <extLst>
    <ext xmlns:mx="http://schemas.microsoft.com/office/mac/excel/2008/main" uri="{64002731-A6B0-56B0-2670-7721B7C09600}">
      <mx:PLV Mode="1" OnePage="0" WScale="10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view="pageLayout" workbookViewId="0">
      <selection sqref="A1:XFD1"/>
    </sheetView>
  </sheetViews>
  <sheetFormatPr baseColWidth="10" defaultColWidth="10.796875" defaultRowHeight="15.6"/>
  <cols>
    <col min="1" max="1" width="19.19921875" style="329" customWidth="1"/>
    <col min="2" max="4" width="10.69921875" style="331" customWidth="1"/>
    <col min="5" max="16384" width="10.796875" style="331"/>
  </cols>
  <sheetData>
    <row r="1" spans="1:7">
      <c r="A1" s="188" t="s">
        <v>1044</v>
      </c>
    </row>
    <row r="2" spans="1:7" ht="18">
      <c r="A2" s="55" t="str">
        <f>CONCATENATE(VLOOKUP($A$1,'Table of Contents'!$B:$E,4,FALSE)," ",$A$1)</f>
        <v>5.7 Conversant IP</v>
      </c>
    </row>
    <row r="3" spans="1:7">
      <c r="A3" s="331" t="str">
        <f>VLOOKUP($A$1,'Table of Contents'!$B:$E,3,FALSE)</f>
        <v>Private Corp</v>
      </c>
    </row>
    <row r="4" spans="1:7">
      <c r="A4" s="54" t="str">
        <f>VLOOKUP($A$1,'Table of Contents'!$B:$E,2,FALSE)</f>
        <v>Researched</v>
      </c>
    </row>
    <row r="6" spans="1:7">
      <c r="A6" s="10" t="s">
        <v>505</v>
      </c>
    </row>
    <row r="7" spans="1:7" ht="33" customHeight="1">
      <c r="A7" s="533" t="s">
        <v>1220</v>
      </c>
      <c r="B7" s="533"/>
      <c r="C7" s="533"/>
      <c r="D7" s="533"/>
      <c r="E7" s="533"/>
      <c r="F7" s="533"/>
      <c r="G7" s="533"/>
    </row>
    <row r="9" spans="1:7" ht="61.95" customHeight="1">
      <c r="A9" s="533" t="s">
        <v>1221</v>
      </c>
      <c r="B9" s="533"/>
      <c r="C9" s="533"/>
      <c r="D9" s="533"/>
      <c r="E9" s="533"/>
      <c r="F9" s="533"/>
      <c r="G9" s="533"/>
    </row>
    <row r="11" spans="1:7">
      <c r="A11" s="10" t="s">
        <v>539</v>
      </c>
    </row>
    <row r="12" spans="1:7" ht="31.95" customHeight="1">
      <c r="A12" s="533" t="s">
        <v>1223</v>
      </c>
      <c r="B12" s="533"/>
      <c r="C12" s="533"/>
      <c r="D12" s="533"/>
      <c r="E12" s="533"/>
      <c r="F12" s="533"/>
      <c r="G12" s="533"/>
    </row>
    <row r="13" spans="1:7" ht="19.95" customHeight="1">
      <c r="B13" s="329"/>
      <c r="C13" s="329"/>
      <c r="D13" s="329"/>
      <c r="E13" s="329"/>
      <c r="F13" s="329"/>
      <c r="G13" s="329"/>
    </row>
    <row r="14" spans="1:7" ht="46.95" customHeight="1">
      <c r="A14" s="533" t="s">
        <v>1225</v>
      </c>
      <c r="B14" s="533"/>
      <c r="C14" s="533"/>
      <c r="D14" s="533"/>
      <c r="E14" s="533"/>
      <c r="F14" s="533"/>
      <c r="G14" s="533"/>
    </row>
    <row r="16" spans="1:7">
      <c r="A16" s="10" t="s">
        <v>308</v>
      </c>
    </row>
    <row r="17" spans="1:7" ht="48" customHeight="1">
      <c r="A17" s="557" t="s">
        <v>1219</v>
      </c>
      <c r="B17" s="557"/>
      <c r="C17" s="557"/>
      <c r="D17" s="557"/>
      <c r="E17" s="557"/>
      <c r="F17" s="557"/>
      <c r="G17" s="557"/>
    </row>
    <row r="19" spans="1:7" ht="48" customHeight="1">
      <c r="A19" s="559" t="s">
        <v>1224</v>
      </c>
      <c r="B19" s="559"/>
      <c r="C19" s="559"/>
      <c r="D19" s="559"/>
      <c r="E19" s="559"/>
      <c r="F19" s="559"/>
      <c r="G19" s="559"/>
    </row>
    <row r="20" spans="1:7">
      <c r="A20" s="559" t="s">
        <v>1222</v>
      </c>
      <c r="B20" s="559"/>
      <c r="C20" s="559"/>
      <c r="D20" s="559"/>
      <c r="E20" s="559"/>
      <c r="F20" s="559"/>
      <c r="G20" s="559"/>
    </row>
    <row r="22" spans="1:7">
      <c r="A22" s="10" t="s">
        <v>538</v>
      </c>
    </row>
    <row r="23" spans="1:7" ht="76.95" customHeight="1">
      <c r="A23" s="548" t="s">
        <v>1045</v>
      </c>
      <c r="B23" s="548"/>
      <c r="C23" s="548"/>
      <c r="D23" s="548"/>
      <c r="E23" s="548"/>
      <c r="F23" s="548"/>
      <c r="G23" s="548"/>
    </row>
    <row r="25" spans="1:7" ht="33" customHeight="1">
      <c r="A25" s="548" t="s">
        <v>1205</v>
      </c>
      <c r="B25" s="548"/>
      <c r="C25" s="548"/>
      <c r="D25" s="548"/>
      <c r="E25" s="548"/>
      <c r="F25" s="548"/>
      <c r="G25" s="548"/>
    </row>
    <row r="26" spans="1:7" ht="16.05" customHeight="1"/>
    <row r="27" spans="1:7" ht="16.95" customHeight="1">
      <c r="A27" s="548" t="s">
        <v>1226</v>
      </c>
      <c r="B27" s="548"/>
      <c r="C27" s="548"/>
      <c r="D27" s="548"/>
      <c r="E27" s="548"/>
      <c r="F27" s="548"/>
      <c r="G27" s="548"/>
    </row>
    <row r="28" spans="1:7">
      <c r="A28" s="198" t="s">
        <v>1210</v>
      </c>
      <c r="C28" s="327">
        <v>1</v>
      </c>
      <c r="D28" s="331" t="s">
        <v>1212</v>
      </c>
    </row>
    <row r="29" spans="1:7">
      <c r="A29" s="198" t="s">
        <v>1211</v>
      </c>
      <c r="C29" s="327">
        <v>1</v>
      </c>
      <c r="D29" s="331" t="s">
        <v>1213</v>
      </c>
    </row>
    <row r="30" spans="1:7">
      <c r="A30" s="198" t="s">
        <v>1011</v>
      </c>
      <c r="C30" s="335">
        <v>0.33</v>
      </c>
      <c r="D30" s="331" t="s">
        <v>1214</v>
      </c>
    </row>
    <row r="32" spans="1:7" ht="62.4">
      <c r="A32" s="75" t="s">
        <v>0</v>
      </c>
      <c r="B32" s="75" t="s">
        <v>1208</v>
      </c>
      <c r="C32" s="75" t="s">
        <v>1217</v>
      </c>
      <c r="D32" s="75" t="s">
        <v>1216</v>
      </c>
      <c r="E32" s="75" t="s">
        <v>1215</v>
      </c>
      <c r="F32" s="75" t="s">
        <v>6</v>
      </c>
    </row>
    <row r="33" spans="1:6">
      <c r="A33" s="328">
        <v>2007</v>
      </c>
      <c r="B33" s="334">
        <v>51</v>
      </c>
      <c r="C33" s="95">
        <v>1</v>
      </c>
      <c r="D33" s="334">
        <f>B33*C33</f>
        <v>51</v>
      </c>
      <c r="E33" s="334">
        <f>D33*$C$28*$C$29*$C$30</f>
        <v>16.830000000000002</v>
      </c>
      <c r="F33" s="331" t="s">
        <v>1207</v>
      </c>
    </row>
    <row r="34" spans="1:6">
      <c r="A34" s="328">
        <f>A33+1</f>
        <v>2008</v>
      </c>
      <c r="B34" s="334">
        <v>53.2</v>
      </c>
      <c r="C34" s="95">
        <v>1.065788</v>
      </c>
      <c r="D34" s="334">
        <f t="shared" ref="D34:D42" si="0">B34*C34</f>
        <v>56.699921600000003</v>
      </c>
      <c r="E34" s="334">
        <f t="shared" ref="E34:E42" si="1">D34*$C$28*$C$29*$C$30</f>
        <v>18.710974128000004</v>
      </c>
      <c r="F34" s="331" t="s">
        <v>1207</v>
      </c>
    </row>
    <row r="35" spans="1:6">
      <c r="A35" s="328">
        <f t="shared" ref="A35:A42" si="2">A34+1</f>
        <v>2009</v>
      </c>
      <c r="B35" s="334">
        <v>62.3</v>
      </c>
      <c r="C35" s="95">
        <v>1.1414329999999999</v>
      </c>
      <c r="D35" s="334">
        <f t="shared" si="0"/>
        <v>71.111275899999995</v>
      </c>
      <c r="E35" s="334">
        <f t="shared" si="1"/>
        <v>23.466721047</v>
      </c>
      <c r="F35" s="331" t="s">
        <v>1207</v>
      </c>
    </row>
    <row r="36" spans="1:6">
      <c r="A36" s="328">
        <f t="shared" si="2"/>
        <v>2010</v>
      </c>
      <c r="B36" s="334">
        <v>71.099999999999994</v>
      </c>
      <c r="C36" s="95">
        <v>1.0305329999999999</v>
      </c>
      <c r="D36" s="334">
        <f t="shared" si="0"/>
        <v>73.27089629999999</v>
      </c>
      <c r="E36" s="334">
        <f t="shared" si="1"/>
        <v>24.179395778999996</v>
      </c>
      <c r="F36" s="331" t="s">
        <v>1207</v>
      </c>
    </row>
    <row r="37" spans="1:6">
      <c r="A37" s="328">
        <f t="shared" si="2"/>
        <v>2011</v>
      </c>
      <c r="B37" s="334">
        <v>79.900000000000006</v>
      </c>
      <c r="C37" s="95">
        <v>0.98932299999999995</v>
      </c>
      <c r="D37" s="334">
        <f t="shared" si="0"/>
        <v>79.046907700000006</v>
      </c>
      <c r="E37" s="334">
        <f t="shared" si="1"/>
        <v>26.085479541000002</v>
      </c>
      <c r="F37" s="331" t="s">
        <v>1207</v>
      </c>
    </row>
    <row r="38" spans="1:6">
      <c r="A38" s="328">
        <f t="shared" si="2"/>
        <v>2012</v>
      </c>
      <c r="B38" s="334">
        <f>B37</f>
        <v>79.900000000000006</v>
      </c>
      <c r="C38" s="95">
        <v>0.99999700000000002</v>
      </c>
      <c r="D38" s="334">
        <f t="shared" si="0"/>
        <v>79.899760300000011</v>
      </c>
      <c r="E38" s="334">
        <f t="shared" si="1"/>
        <v>26.366920899000004</v>
      </c>
      <c r="F38" s="331" t="s">
        <v>1209</v>
      </c>
    </row>
    <row r="39" spans="1:6">
      <c r="A39" s="328">
        <f t="shared" si="2"/>
        <v>2013</v>
      </c>
      <c r="B39" s="334">
        <f>B38</f>
        <v>79.900000000000006</v>
      </c>
      <c r="C39" s="95">
        <v>1.030084</v>
      </c>
      <c r="D39" s="334">
        <f t="shared" si="0"/>
        <v>82.3037116</v>
      </c>
      <c r="E39" s="334">
        <f t="shared" si="1"/>
        <v>27.160224828</v>
      </c>
      <c r="F39" s="331" t="s">
        <v>1209</v>
      </c>
    </row>
    <row r="40" spans="1:6">
      <c r="A40" s="328">
        <f t="shared" si="2"/>
        <v>2014</v>
      </c>
      <c r="B40" s="334">
        <f>B39</f>
        <v>79.900000000000006</v>
      </c>
      <c r="C40" s="95">
        <v>1.104347</v>
      </c>
      <c r="D40" s="334">
        <f t="shared" si="0"/>
        <v>88.237325300000009</v>
      </c>
      <c r="E40" s="334">
        <f t="shared" si="1"/>
        <v>29.118317349000005</v>
      </c>
      <c r="F40" s="331" t="s">
        <v>1209</v>
      </c>
    </row>
    <row r="41" spans="1:6">
      <c r="A41" s="328">
        <f t="shared" si="2"/>
        <v>2015</v>
      </c>
      <c r="B41" s="334">
        <f>B40</f>
        <v>79.900000000000006</v>
      </c>
      <c r="C41" s="95">
        <v>1.279163</v>
      </c>
      <c r="D41" s="334">
        <f t="shared" si="0"/>
        <v>102.20512370000002</v>
      </c>
      <c r="E41" s="334">
        <f t="shared" si="1"/>
        <v>33.72769082100001</v>
      </c>
      <c r="F41" s="331" t="s">
        <v>1209</v>
      </c>
    </row>
    <row r="42" spans="1:6">
      <c r="A42" s="328">
        <f t="shared" si="2"/>
        <v>2016</v>
      </c>
      <c r="B42" s="334">
        <f>B41</f>
        <v>79.900000000000006</v>
      </c>
      <c r="C42" s="95">
        <v>1.3255209999999999</v>
      </c>
      <c r="D42" s="334">
        <f t="shared" si="0"/>
        <v>105.9091279</v>
      </c>
      <c r="E42" s="334">
        <f t="shared" si="1"/>
        <v>34.950012207</v>
      </c>
      <c r="F42" s="331" t="s">
        <v>1209</v>
      </c>
    </row>
    <row r="43" spans="1:6">
      <c r="A43" s="328"/>
      <c r="D43" s="334"/>
    </row>
    <row r="44" spans="1:6">
      <c r="A44" s="336" t="s">
        <v>1218</v>
      </c>
    </row>
    <row r="55" spans="1:1">
      <c r="A55" s="10"/>
    </row>
    <row r="56" spans="1:1">
      <c r="A56" s="10"/>
    </row>
    <row r="57" spans="1:1">
      <c r="A57" s="10"/>
    </row>
    <row r="58" spans="1:1">
      <c r="A58" s="10"/>
    </row>
  </sheetData>
  <mergeCells count="10">
    <mergeCell ref="A9:G9"/>
    <mergeCell ref="A7:G7"/>
    <mergeCell ref="A14:G14"/>
    <mergeCell ref="A27:G27"/>
    <mergeCell ref="A17:G17"/>
    <mergeCell ref="A19:G19"/>
    <mergeCell ref="A20:G20"/>
    <mergeCell ref="A12:G12"/>
    <mergeCell ref="A23:G23"/>
    <mergeCell ref="A25:G25"/>
  </mergeCells>
  <phoneticPr fontId="16" type="noConversion"/>
  <hyperlinks>
    <hyperlink ref="A17" r:id="rId1" display="Conversant is the &quot;new&quot; name of the former MOSAID.  MOSAID was originally a semiconductor company and later turned to IP licensing of its organic semiconductor patent portfolio.  MOSAID was publicly traded until an LBO by Sterling Partners took it private"/>
    <hyperlink ref="B17" r:id="rId2" display="http://www.marketwired.com/press-release/mosaid-technologies-announces-closing-of-acquisition-by-sterling-partners-tsx-msd-1601810.htm"/>
    <hyperlink ref="C17" r:id="rId3" display="http://www.marketwired.com/press-release/mosaid-technologies-announces-closing-of-acquisition-by-sterling-partners-tsx-msd-1601810.htm"/>
    <hyperlink ref="D17" r:id="rId4" display="http://www.marketwired.com/press-release/mosaid-technologies-announces-closing-of-acquisition-by-sterling-partners-tsx-msd-1601810.htm"/>
    <hyperlink ref="E17" r:id="rId5" display="http://www.marketwired.com/press-release/mosaid-technologies-announces-closing-of-acquisition-by-sterling-partners-tsx-msd-1601810.htm"/>
    <hyperlink ref="F17" r:id="rId6" display="http://www.marketwired.com/press-release/mosaid-technologies-announces-closing-of-acquisition-by-sterling-partners-tsx-msd-1601810.htm"/>
    <hyperlink ref="G17" r:id="rId7" display="http://www.marketwired.com/press-release/mosaid-technologies-announces-closing-of-acquisition-by-sterling-partners-tsx-msd-1601810.htm"/>
  </hyperlinks>
  <pageMargins left="0.7" right="0.7" top="0.75" bottom="0.75" header="0.3" footer="0.3"/>
  <pageSetup orientation="landscape" horizontalDpi="4294967292" verticalDpi="4294967292" r:id="rId8"/>
  <headerFooter>
    <oddHeader>&amp;LA New Dataset on Mobile Phone _x000D_Patent License Royalties&amp;C&amp;"-,Bold"&amp;A&amp;RAugust 2017 Update</oddHeader>
    <oddFooter>&amp;LAlexander Galetovic, _x000D_Stephen Haber, and Lew Zaretzki&amp;C&amp;P of &amp;N</oddFooter>
  </headerFooter>
  <extLst>
    <ext xmlns:mx="http://schemas.microsoft.com/office/mac/excel/2008/main" uri="{64002731-A6B0-56B0-2670-7721B7C09600}">
      <mx:PLV Mode="1" OnePage="0" WScale="10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5"/>
  <sheetViews>
    <sheetView showGridLines="0" view="pageLayout" topLeftCell="A19" workbookViewId="0">
      <selection activeCell="A37" sqref="A37"/>
    </sheetView>
  </sheetViews>
  <sheetFormatPr baseColWidth="10" defaultRowHeight="15.6"/>
  <cols>
    <col min="1" max="1" width="83.296875" style="112" customWidth="1"/>
  </cols>
  <sheetData>
    <row r="3" spans="1:1" ht="18">
      <c r="A3" s="55" t="s">
        <v>833</v>
      </c>
    </row>
    <row r="5" spans="1:1">
      <c r="A5" s="10" t="s">
        <v>505</v>
      </c>
    </row>
    <row r="6" spans="1:1" ht="15.75" customHeight="1">
      <c r="A6" s="224"/>
    </row>
    <row r="7" spans="1:1" s="212" customFormat="1">
      <c r="A7" s="548" t="s">
        <v>848</v>
      </c>
    </row>
    <row r="8" spans="1:1" s="212" customFormat="1" ht="15.75" customHeight="1">
      <c r="A8" s="548"/>
    </row>
    <row r="9" spans="1:1" s="212" customFormat="1" ht="409.5" customHeight="1">
      <c r="A9" s="548"/>
    </row>
    <row r="10" spans="1:1" s="212" customFormat="1">
      <c r="A10" s="548"/>
    </row>
    <row r="11" spans="1:1" s="226" customFormat="1">
      <c r="A11" s="548"/>
    </row>
    <row r="12" spans="1:1" s="226" customFormat="1">
      <c r="A12" s="548"/>
    </row>
    <row r="13" spans="1:1" s="226" customFormat="1">
      <c r="A13" s="548"/>
    </row>
    <row r="14" spans="1:1" s="226" customFormat="1">
      <c r="A14" s="225"/>
    </row>
    <row r="15" spans="1:1" s="226" customFormat="1">
      <c r="A15" s="225"/>
    </row>
    <row r="16" spans="1:1" s="226" customFormat="1">
      <c r="A16" s="225"/>
    </row>
    <row r="17" spans="1:1" s="226" customFormat="1">
      <c r="A17" s="225"/>
    </row>
    <row r="18" spans="1:1" s="226" customFormat="1">
      <c r="A18" s="225"/>
    </row>
    <row r="19" spans="1:1" s="226" customFormat="1">
      <c r="A19" s="225"/>
    </row>
    <row r="20" spans="1:1" s="212" customFormat="1" ht="15.75" customHeight="1">
      <c r="A20" s="10" t="s">
        <v>675</v>
      </c>
    </row>
    <row r="21" spans="1:1" s="212" customFormat="1">
      <c r="A21" s="39" t="s">
        <v>834</v>
      </c>
    </row>
    <row r="22" spans="1:1" s="212" customFormat="1">
      <c r="A22" s="211" t="s">
        <v>1356</v>
      </c>
    </row>
    <row r="23" spans="1:1" s="212" customFormat="1">
      <c r="A23" s="112" t="s">
        <v>1357</v>
      </c>
    </row>
    <row r="24" spans="1:1" s="212" customFormat="1">
      <c r="A24" s="211" t="s">
        <v>1358</v>
      </c>
    </row>
    <row r="25" spans="1:1">
      <c r="A25" s="211" t="s">
        <v>1359</v>
      </c>
    </row>
    <row r="26" spans="1:1">
      <c r="A26" s="120" t="s">
        <v>1360</v>
      </c>
    </row>
    <row r="27" spans="1:1">
      <c r="A27" s="273" t="s">
        <v>1361</v>
      </c>
    </row>
    <row r="28" spans="1:1" s="212" customFormat="1">
      <c r="A28" s="120" t="s">
        <v>1362</v>
      </c>
    </row>
    <row r="29" spans="1:1">
      <c r="A29" s="120" t="s">
        <v>1363</v>
      </c>
    </row>
    <row r="30" spans="1:1">
      <c r="A30" s="120" t="s">
        <v>1364</v>
      </c>
    </row>
    <row r="31" spans="1:1">
      <c r="A31" s="120" t="s">
        <v>1365</v>
      </c>
    </row>
    <row r="32" spans="1:1" s="212" customFormat="1">
      <c r="A32" s="120" t="s">
        <v>1366</v>
      </c>
    </row>
    <row r="33" spans="1:1">
      <c r="A33" s="120" t="s">
        <v>1367</v>
      </c>
    </row>
    <row r="34" spans="1:1" s="212" customFormat="1">
      <c r="A34" s="39" t="s">
        <v>1368</v>
      </c>
    </row>
    <row r="35" spans="1:1" s="212" customFormat="1">
      <c r="A35" s="39" t="s">
        <v>1369</v>
      </c>
    </row>
    <row r="36" spans="1:1">
      <c r="A36" s="39" t="s">
        <v>1370</v>
      </c>
    </row>
    <row r="37" spans="1:1" s="212" customFormat="1">
      <c r="A37" s="461" t="s">
        <v>1418</v>
      </c>
    </row>
    <row r="38" spans="1:1" s="212" customFormat="1"/>
    <row r="39" spans="1:1" s="212" customFormat="1">
      <c r="A39" s="303"/>
    </row>
    <row r="40" spans="1:1" s="212" customFormat="1">
      <c r="A40" s="303"/>
    </row>
    <row r="41" spans="1:1" s="212" customFormat="1">
      <c r="A41" s="303"/>
    </row>
    <row r="42" spans="1:1" s="212" customFormat="1">
      <c r="A42" s="303"/>
    </row>
    <row r="43" spans="1:1" s="212" customFormat="1">
      <c r="A43" s="303"/>
    </row>
    <row r="44" spans="1:1">
      <c r="A44" s="303"/>
    </row>
    <row r="45" spans="1:1">
      <c r="A45" s="303"/>
    </row>
  </sheetData>
  <mergeCells count="1">
    <mergeCell ref="A7:A13"/>
  </mergeCells>
  <phoneticPr fontId="16" type="noConversion"/>
  <hyperlinks>
    <hyperlink ref="A27" r:id="rId1" display="9.  Longitude Licensing (Acquired by Vector Capital)"/>
  </hyperlinks>
  <pageMargins left="0.7" right="0.7" top="0.75" bottom="0.75" header="0.3" footer="0.3"/>
  <pageSetup orientation="portrait" horizontalDpi="4294967292" verticalDpi="4294967292" r:id="rId2"/>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432FF"/>
  </sheetPr>
  <dimension ref="A8:A37"/>
  <sheetViews>
    <sheetView showGridLines="0" view="pageLayout" workbookViewId="0">
      <selection activeCell="A14" sqref="A14"/>
    </sheetView>
  </sheetViews>
  <sheetFormatPr baseColWidth="10" defaultRowHeight="15.6"/>
  <cols>
    <col min="1" max="1" width="81.5" customWidth="1"/>
  </cols>
  <sheetData>
    <row r="8" spans="1:1">
      <c r="A8" s="52"/>
    </row>
    <row r="12" spans="1:1" ht="25.8">
      <c r="A12" s="58" t="s">
        <v>519</v>
      </c>
    </row>
    <row r="13" spans="1:1" ht="25.8">
      <c r="A13" s="58" t="s">
        <v>520</v>
      </c>
    </row>
    <row r="15" spans="1:1" ht="24" customHeight="1">
      <c r="A15" s="558" t="s">
        <v>1522</v>
      </c>
    </row>
    <row r="16" spans="1:1">
      <c r="A16" s="558"/>
    </row>
    <row r="17" spans="1:1">
      <c r="A17" s="558"/>
    </row>
    <row r="18" spans="1:1">
      <c r="A18" s="558"/>
    </row>
    <row r="19" spans="1:1">
      <c r="A19" s="558"/>
    </row>
    <row r="20" spans="1:1">
      <c r="A20" s="558"/>
    </row>
    <row r="21" spans="1:1">
      <c r="A21" s="558"/>
    </row>
    <row r="22" spans="1:1">
      <c r="A22" s="558"/>
    </row>
    <row r="23" spans="1:1">
      <c r="A23" s="558"/>
    </row>
    <row r="24" spans="1:1">
      <c r="A24" s="558"/>
    </row>
    <row r="25" spans="1:1">
      <c r="A25" s="558"/>
    </row>
    <row r="26" spans="1:1">
      <c r="A26" s="558"/>
    </row>
    <row r="27" spans="1:1">
      <c r="A27" s="558"/>
    </row>
    <row r="28" spans="1:1">
      <c r="A28" s="558"/>
    </row>
    <row r="29" spans="1:1">
      <c r="A29" s="558"/>
    </row>
    <row r="30" spans="1:1">
      <c r="A30" s="558"/>
    </row>
    <row r="31" spans="1:1">
      <c r="A31" s="558"/>
    </row>
    <row r="32" spans="1:1">
      <c r="A32" s="558"/>
    </row>
    <row r="33" spans="1:1">
      <c r="A33" s="558"/>
    </row>
    <row r="35" spans="1:1">
      <c r="A35" s="35" t="s">
        <v>1400</v>
      </c>
    </row>
    <row r="36" spans="1:1">
      <c r="A36" s="35" t="s">
        <v>481</v>
      </c>
    </row>
    <row r="37" spans="1:1">
      <c r="A37" s="35" t="s">
        <v>881</v>
      </c>
    </row>
  </sheetData>
  <mergeCells count="1">
    <mergeCell ref="A15:A33"/>
  </mergeCells>
  <phoneticPr fontId="16" type="noConversion"/>
  <pageMargins left="0.7" right="0.7" top="0.75" bottom="0.75" header="0.3" footer="0.3"/>
  <pageSetup orientation="portrait" horizontalDpi="4294967292" verticalDpi="4294967292" r:id="rId1"/>
  <headerFooter>
    <oddHeader>&amp;LA New Dataset on Mobile Phone _x000D_Patent License Royalties&amp;RAugust 2017 Update</oddHeader>
    <oddFooter>&amp;LAlexander Galetovic, Stephen Haber, _x000D_and Lew Zaretzki&amp;C&amp;P</oddFooter>
  </headerFooter>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1"/>
  <sheetViews>
    <sheetView showGridLines="0" view="pageLayout" workbookViewId="0">
      <selection activeCell="A26" sqref="A26"/>
    </sheetView>
  </sheetViews>
  <sheetFormatPr baseColWidth="10" defaultRowHeight="15.6"/>
  <cols>
    <col min="1" max="1" width="77.19921875" customWidth="1"/>
  </cols>
  <sheetData>
    <row r="2" spans="1:1">
      <c r="A2" s="143" t="s">
        <v>500</v>
      </c>
    </row>
    <row r="3" spans="1:1" ht="18">
      <c r="A3" s="53" t="str">
        <f>CONCATENATE(VLOOKUP($A$2,'Table of Contents'!$B:$E,4,FALSE)," ",$A$2)</f>
        <v>1.2 Contact Information</v>
      </c>
    </row>
    <row r="4" spans="1:1" ht="31.2">
      <c r="A4" s="36" t="s">
        <v>489</v>
      </c>
    </row>
    <row r="6" spans="1:1">
      <c r="A6" s="9" t="s">
        <v>482</v>
      </c>
    </row>
    <row r="7" spans="1:1">
      <c r="A7" t="s">
        <v>493</v>
      </c>
    </row>
    <row r="8" spans="1:1">
      <c r="A8" t="s">
        <v>494</v>
      </c>
    </row>
    <row r="9" spans="1:1" s="360" customFormat="1"/>
    <row r="10" spans="1:1">
      <c r="A10" t="s">
        <v>495</v>
      </c>
    </row>
    <row r="11" spans="1:1">
      <c r="A11" t="s">
        <v>1384</v>
      </c>
    </row>
    <row r="12" spans="1:1">
      <c r="A12" s="33" t="s">
        <v>498</v>
      </c>
    </row>
    <row r="13" spans="1:1">
      <c r="A13" s="33" t="s">
        <v>492</v>
      </c>
    </row>
    <row r="16" spans="1:1">
      <c r="A16" s="9" t="s">
        <v>483</v>
      </c>
    </row>
    <row r="17" spans="1:1" ht="46.8">
      <c r="A17" s="36" t="s">
        <v>540</v>
      </c>
    </row>
    <row r="19" spans="1:1">
      <c r="A19" t="s">
        <v>496</v>
      </c>
    </row>
    <row r="20" spans="1:1">
      <c r="A20" t="s">
        <v>1530</v>
      </c>
    </row>
    <row r="21" spans="1:1">
      <c r="A21" s="33" t="s">
        <v>491</v>
      </c>
    </row>
    <row r="22" spans="1:1">
      <c r="A22" s="33" t="s">
        <v>490</v>
      </c>
    </row>
    <row r="25" spans="1:1">
      <c r="A25" s="9" t="s">
        <v>484</v>
      </c>
    </row>
    <row r="26" spans="1:1">
      <c r="A26" t="s">
        <v>487</v>
      </c>
    </row>
    <row r="27" spans="1:1">
      <c r="A27" t="s">
        <v>488</v>
      </c>
    </row>
    <row r="29" spans="1:1">
      <c r="A29" t="s">
        <v>497</v>
      </c>
    </row>
    <row r="30" spans="1:1">
      <c r="A30" s="33" t="s">
        <v>485</v>
      </c>
    </row>
    <row r="31" spans="1:1">
      <c r="A31" t="s">
        <v>486</v>
      </c>
    </row>
  </sheetData>
  <phoneticPr fontId="16" type="noConversion"/>
  <hyperlinks>
    <hyperlink ref="A30" r:id="rId1"/>
    <hyperlink ref="A22" r:id="rId2"/>
    <hyperlink ref="A21" r:id="rId3"/>
    <hyperlink ref="A13" r:id="rId4"/>
    <hyperlink ref="A12" r:id="rId5"/>
  </hyperlinks>
  <pageMargins left="0.7" right="0.7" top="0.75" bottom="0.75" header="0.3" footer="0.3"/>
  <pageSetup orientation="portrait" horizontalDpi="4294967292" verticalDpi="4294967292" r:id="rId6"/>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showGridLines="0" view="pageLayout" topLeftCell="A9" workbookViewId="0">
      <selection activeCell="D38" sqref="D38"/>
    </sheetView>
  </sheetViews>
  <sheetFormatPr baseColWidth="10" defaultRowHeight="15.6"/>
  <cols>
    <col min="1" max="1" width="20.69921875" style="36" customWidth="1"/>
    <col min="2" max="2" width="22.69921875" style="36" customWidth="1"/>
    <col min="3" max="3" width="18.19921875" style="152" customWidth="1"/>
    <col min="4" max="4" width="17.796875" style="36" customWidth="1"/>
    <col min="5" max="5" width="15.296875" style="36" customWidth="1"/>
    <col min="6" max="6" width="15.796875" style="36" customWidth="1"/>
  </cols>
  <sheetData>
    <row r="2" spans="1:6" ht="31.2">
      <c r="A2" s="188" t="s">
        <v>882</v>
      </c>
    </row>
    <row r="3" spans="1:6" ht="18">
      <c r="A3" s="61" t="str">
        <f>CONCATENATE(VLOOKUP($A$2,'Table of Contents'!$B:$E,4,FALSE)," ",$A$2)</f>
        <v>1.3 Royalty Yield Summary 2016</v>
      </c>
    </row>
    <row r="5" spans="1:6">
      <c r="A5" s="532" t="s">
        <v>1278</v>
      </c>
      <c r="B5" s="532"/>
      <c r="C5" s="532"/>
      <c r="D5" s="532"/>
      <c r="E5" s="532"/>
      <c r="F5" s="532"/>
    </row>
    <row r="6" spans="1:6" s="217" customFormat="1">
      <c r="A6" s="216"/>
      <c r="B6" s="216"/>
      <c r="C6" s="216"/>
      <c r="D6" s="216"/>
      <c r="E6" s="216"/>
      <c r="F6" s="216"/>
    </row>
    <row r="7" spans="1:6" ht="62.4">
      <c r="A7" s="49" t="s">
        <v>763</v>
      </c>
      <c r="B7" s="48" t="s">
        <v>765</v>
      </c>
      <c r="C7" s="48" t="s">
        <v>764</v>
      </c>
      <c r="D7" s="386" t="s">
        <v>748</v>
      </c>
      <c r="E7" s="48" t="s">
        <v>845</v>
      </c>
      <c r="F7" s="48" t="s">
        <v>749</v>
      </c>
    </row>
    <row r="8" spans="1:6">
      <c r="A8" s="121">
        <f>SUMIF('1.7 Revenues by Licensor'!$B$11:$AP$11, A$7,'1.7 Revenues by Licensor'!$B29:$AZ29)/1000000</f>
        <v>12924.816221820818</v>
      </c>
      <c r="B8" s="121">
        <f>SUMIF('1.7 Revenues by Licensor'!$B$11:$AP$11, B$7,'1.7 Revenues by Licensor'!$B29:$AZ29)/1000000</f>
        <v>465.76358088999984</v>
      </c>
      <c r="C8" s="121">
        <f>SUMIF('1.7 Revenues by Licensor'!$B$11:$AP$11, C$7,'1.7 Revenues by Licensor'!$B29:$AZ29)/1000000</f>
        <v>801.04334554033335</v>
      </c>
      <c r="D8" s="235">
        <f>SUM(A8:C8)</f>
        <v>14191.62314825115</v>
      </c>
      <c r="E8" s="122">
        <f>'1.8 Device Sales'!N19/1000000</f>
        <v>425100</v>
      </c>
      <c r="F8" s="122">
        <f>'1.8 Device Sales'!L19/1000000</f>
        <v>415210</v>
      </c>
    </row>
    <row r="9" spans="1:6">
      <c r="A9" s="46"/>
      <c r="B9" s="50"/>
      <c r="C9" s="50"/>
      <c r="D9" s="387"/>
    </row>
    <row r="10" spans="1:6" ht="31.2">
      <c r="A10" s="47" t="s">
        <v>844</v>
      </c>
      <c r="B10" s="47" t="s">
        <v>844</v>
      </c>
      <c r="C10" s="47" t="s">
        <v>844</v>
      </c>
      <c r="D10" s="388" t="s">
        <v>844</v>
      </c>
      <c r="E10" s="36" t="s">
        <v>7</v>
      </c>
    </row>
    <row r="11" spans="1:6">
      <c r="A11" s="123">
        <f>A8/E8</f>
        <v>3.0404178362316674E-2</v>
      </c>
      <c r="B11" s="171">
        <f>B8/E8</f>
        <v>1.0956565064455419E-3</v>
      </c>
      <c r="C11" s="171">
        <f>C8/E8</f>
        <v>1.8843644919791422E-3</v>
      </c>
      <c r="D11" s="389">
        <f>SUM(A11:C11)</f>
        <v>3.3384199360741357E-2</v>
      </c>
    </row>
    <row r="12" spans="1:6">
      <c r="D12" s="387"/>
    </row>
    <row r="13" spans="1:6">
      <c r="A13" s="172" t="s">
        <v>727</v>
      </c>
      <c r="B13" s="172" t="s">
        <v>728</v>
      </c>
      <c r="C13" s="172" t="s">
        <v>728</v>
      </c>
      <c r="D13" s="390" t="s">
        <v>728</v>
      </c>
      <c r="E13"/>
    </row>
    <row r="14" spans="1:6">
      <c r="A14" s="102">
        <f>A8/F8</f>
        <v>3.1128383762001922E-2</v>
      </c>
      <c r="B14" s="102">
        <f>B8/F8</f>
        <v>1.1217542469834539E-3</v>
      </c>
      <c r="C14" s="102">
        <f>C8/F8</f>
        <v>1.9292486826914894E-3</v>
      </c>
      <c r="D14" s="391">
        <f>D8/F8</f>
        <v>3.4179386691676861E-2</v>
      </c>
      <c r="E14"/>
    </row>
    <row r="15" spans="1:6">
      <c r="A15"/>
      <c r="B15"/>
      <c r="C15"/>
      <c r="D15"/>
      <c r="E15"/>
      <c r="F15" s="38"/>
    </row>
    <row r="16" spans="1:6">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row r="25" spans="1:5">
      <c r="A25"/>
      <c r="B25"/>
      <c r="C25"/>
      <c r="D25"/>
      <c r="E25"/>
    </row>
    <row r="26" spans="1:5">
      <c r="A26"/>
      <c r="B26"/>
      <c r="C26"/>
      <c r="D26"/>
      <c r="E26"/>
    </row>
    <row r="27" spans="1:5">
      <c r="A27"/>
      <c r="B27"/>
      <c r="C27"/>
      <c r="D27"/>
      <c r="E27"/>
    </row>
    <row r="28" spans="1:5">
      <c r="A28"/>
      <c r="B28"/>
      <c r="C28"/>
      <c r="D28"/>
      <c r="E28"/>
    </row>
    <row r="29" spans="1:5">
      <c r="A29"/>
      <c r="B29"/>
      <c r="C29"/>
      <c r="D29"/>
      <c r="E29"/>
    </row>
  </sheetData>
  <mergeCells count="1">
    <mergeCell ref="A5:F5"/>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showGridLines="0" view="pageLayout" workbookViewId="0">
      <selection activeCell="H21" sqref="H21"/>
    </sheetView>
  </sheetViews>
  <sheetFormatPr baseColWidth="10" defaultRowHeight="15.6"/>
  <cols>
    <col min="1" max="1" width="5.19921875" customWidth="1"/>
    <col min="2" max="4" width="14" style="152" customWidth="1"/>
    <col min="5" max="5" width="9" style="152" customWidth="1"/>
    <col min="6" max="8" width="16.5" customWidth="1"/>
  </cols>
  <sheetData>
    <row r="2" spans="1:8">
      <c r="A2" s="143" t="s">
        <v>773</v>
      </c>
    </row>
    <row r="3" spans="1:8" ht="18">
      <c r="A3" s="61" t="str">
        <f>CONCATENATE(VLOOKUP($A$2,'Table of Contents'!$B:$E,4,FALSE)," ",$A$2)</f>
        <v>1.4 Royalty Yield Series</v>
      </c>
    </row>
    <row r="5" spans="1:8" ht="15" customHeight="1">
      <c r="A5" s="532" t="s">
        <v>750</v>
      </c>
      <c r="B5" s="533"/>
      <c r="C5" s="533"/>
      <c r="D5" s="533"/>
      <c r="E5" s="533"/>
      <c r="F5" s="533"/>
      <c r="G5" s="533"/>
      <c r="H5" s="533"/>
    </row>
    <row r="6" spans="1:8" ht="15" customHeight="1">
      <c r="A6" s="178"/>
      <c r="B6" s="179"/>
      <c r="D6" s="179"/>
      <c r="E6" s="179"/>
      <c r="F6" s="179"/>
      <c r="G6" s="179"/>
      <c r="H6" s="179"/>
    </row>
    <row r="7" spans="1:8" ht="15" customHeight="1">
      <c r="A7" s="178"/>
      <c r="B7" s="179"/>
      <c r="C7" s="186">
        <v>2007</v>
      </c>
      <c r="D7" s="186">
        <v>2009</v>
      </c>
      <c r="E7" s="179"/>
      <c r="F7" s="179"/>
      <c r="G7" s="179"/>
      <c r="H7" s="179"/>
    </row>
    <row r="8" spans="1:8" ht="15" customHeight="1">
      <c r="A8" s="178"/>
      <c r="B8" s="179"/>
      <c r="C8" s="532"/>
      <c r="D8" s="532"/>
      <c r="E8" s="179"/>
      <c r="F8" s="532"/>
      <c r="G8" s="532"/>
      <c r="H8" s="179"/>
    </row>
    <row r="9" spans="1:8" ht="62.4">
      <c r="B9" s="66" t="s">
        <v>732</v>
      </c>
      <c r="C9" s="106" t="str">
        <f>CONCATENATE("Total, Firms Covered Since ",C7)</f>
        <v>Total, Firms Covered Since 2007</v>
      </c>
      <c r="D9" s="106" t="str">
        <f>CONCATENATE("Total, Firms Covered Since ",D7)</f>
        <v>Total, Firms Covered Since 2009</v>
      </c>
      <c r="F9" s="82" t="s">
        <v>781</v>
      </c>
      <c r="G9" s="146" t="str">
        <f>CONCATENATE(C9," as % Mobile Phone Revenues")</f>
        <v>Total, Firms Covered Since 2007 as % Mobile Phone Revenues</v>
      </c>
      <c r="H9" s="146" t="str">
        <f>CONCATENATE(D9," as % Mobile Phone Revenues")</f>
        <v>Total, Firms Covered Since 2009 as % Mobile Phone Revenues</v>
      </c>
    </row>
    <row r="10" spans="1:8">
      <c r="B10" s="234">
        <v>2007</v>
      </c>
      <c r="C10" s="201">
        <f>SUMIFS('1.7 Revenues by Licensor'!$B20:$AO20,'1.7 Revenues by Licensor'!$B$9:$AO$9,CONCATENATE("&lt;=",$C$7))/1000000</f>
        <v>4704.8980032264108</v>
      </c>
      <c r="D10" s="201">
        <f>SUMIFS('1.7 Revenues by Licensor'!$B20:$AO20,'1.7 Revenues by Licensor'!$B$9:$AO$9,CONCATENATE("&lt;=",$D$7))/1000000</f>
        <v>4704.8980032264108</v>
      </c>
      <c r="F10" s="310">
        <f>'1.8 Device Sales'!N10/1000000</f>
        <v>219480</v>
      </c>
      <c r="G10" s="102">
        <f t="shared" ref="G10:G18" si="0">C10/F10</f>
        <v>2.1436568266932798E-2</v>
      </c>
      <c r="H10" s="184"/>
    </row>
    <row r="11" spans="1:8">
      <c r="B11" s="234">
        <v>2008</v>
      </c>
      <c r="C11" s="201">
        <f>SUMIFS('1.7 Revenues by Licensor'!$B21:$AO21,'1.7 Revenues by Licensor'!$B$9:$AO$9,CONCATENATE("&lt;=",$C$7))/1000000</f>
        <v>6002.7602220693925</v>
      </c>
      <c r="D11" s="201">
        <f>SUMIFS('1.7 Revenues by Licensor'!$B21:$AO21,'1.7 Revenues by Licensor'!$B$9:$AO$9,CONCATENATE("&lt;=",$D$7))/1000000</f>
        <v>6002.7602220693925</v>
      </c>
      <c r="F11" s="310">
        <f>'1.8 Device Sales'!N11/1000000</f>
        <v>245510</v>
      </c>
      <c r="G11" s="102">
        <f t="shared" si="0"/>
        <v>2.4450165867253442E-2</v>
      </c>
      <c r="H11" s="184"/>
    </row>
    <row r="12" spans="1:8">
      <c r="B12" s="234">
        <v>2009</v>
      </c>
      <c r="C12" s="201">
        <f>SUMIFS('1.7 Revenues by Licensor'!$B22:$AO22,'1.7 Revenues by Licensor'!$B$9:$AO$9,CONCATENATE("&lt;=",$C$7))/1000000</f>
        <v>5865.829229329911</v>
      </c>
      <c r="D12" s="201">
        <f>SUMIFS('1.7 Revenues by Licensor'!$B22:$AO22,'1.7 Revenues by Licensor'!$B$9:$AO$9,CONCATENATE("&lt;=",$D$7))/1000000</f>
        <v>6818.7763619463985</v>
      </c>
      <c r="F12" s="310">
        <f>'1.8 Device Sales'!N12/1000000</f>
        <v>217740</v>
      </c>
      <c r="G12" s="102">
        <f t="shared" si="0"/>
        <v>2.6939603331174386E-2</v>
      </c>
      <c r="H12" s="102">
        <f t="shared" ref="H12:H18" si="1">D12/F12</f>
        <v>3.1316140176110951E-2</v>
      </c>
    </row>
    <row r="13" spans="1:8">
      <c r="B13" s="234">
        <v>2010</v>
      </c>
      <c r="C13" s="201">
        <f>SUMIFS('1.7 Revenues by Licensor'!$B23:$AO23,'1.7 Revenues by Licensor'!$B$9:$AO$9,CONCATENATE("&lt;=",$C$7))/1000000</f>
        <v>6436.2350354405244</v>
      </c>
      <c r="D13" s="201">
        <f>SUMIFS('1.7 Revenues by Licensor'!$B23:$AO23,'1.7 Revenues by Licensor'!$B$9:$AO$9,CONCATENATE("&lt;=",$D$7))/1000000</f>
        <v>7371.8128406332235</v>
      </c>
      <c r="F13" s="235">
        <f>'1.8 Device Sales'!N13/1000000</f>
        <v>259456.74982024421</v>
      </c>
      <c r="G13" s="102">
        <f t="shared" si="0"/>
        <v>2.4806581597509609E-2</v>
      </c>
      <c r="H13" s="102">
        <f t="shared" si="1"/>
        <v>2.8412492046325771E-2</v>
      </c>
    </row>
    <row r="14" spans="1:8">
      <c r="B14" s="234">
        <v>2011</v>
      </c>
      <c r="C14" s="201">
        <f>SUMIFS('1.7 Revenues by Licensor'!$B24:$AO24,'1.7 Revenues by Licensor'!$B$9:$AO$9,CONCATENATE("&lt;=",$C$7))/1000000</f>
        <v>8695.5584258196723</v>
      </c>
      <c r="D14" s="201">
        <f>SUMIFS('1.7 Revenues by Licensor'!$B24:$AO24,'1.7 Revenues by Licensor'!$B$9:$AO$9,CONCATENATE("&lt;=",$D$7))/1000000</f>
        <v>10424.764935513009</v>
      </c>
      <c r="F14" s="235">
        <f>'1.8 Device Sales'!N14/1000000</f>
        <v>304945.72376551793</v>
      </c>
      <c r="G14" s="102">
        <f t="shared" si="0"/>
        <v>2.8515102026831347E-2</v>
      </c>
      <c r="H14" s="102">
        <f t="shared" si="1"/>
        <v>3.4185640666759859E-2</v>
      </c>
    </row>
    <row r="15" spans="1:8">
      <c r="B15" s="234">
        <v>2012</v>
      </c>
      <c r="C15" s="201">
        <f>SUMIFS('1.7 Revenues by Licensor'!$B25:$AO25,'1.7 Revenues by Licensor'!$B$9:$AO$9,CONCATENATE("&lt;=",$C$7))/1000000</f>
        <v>10019.529287399575</v>
      </c>
      <c r="D15" s="201">
        <f>SUMIFS('1.7 Revenues by Licensor'!$B25:$AO25,'1.7 Revenues by Licensor'!$B$9:$AO$9,CONCATENATE("&lt;=",$D$7))/1000000</f>
        <v>11381.417919116559</v>
      </c>
      <c r="F15" s="235">
        <f>'1.8 Device Sales'!N15/1000000</f>
        <v>340108.50844263093</v>
      </c>
      <c r="G15" s="102">
        <f t="shared" si="0"/>
        <v>2.9459801912276054E-2</v>
      </c>
      <c r="H15" s="102">
        <f t="shared" si="1"/>
        <v>3.3464078776601264E-2</v>
      </c>
    </row>
    <row r="16" spans="1:8">
      <c r="B16" s="234">
        <v>2013</v>
      </c>
      <c r="C16" s="201">
        <f>SUMIFS('1.7 Revenues by Licensor'!$B26:$AO26,'1.7 Revenues by Licensor'!$B$9:$AO$9,CONCATENATE("&lt;=",$C$7))/1000000</f>
        <v>10497.26264299899</v>
      </c>
      <c r="D16" s="201">
        <f>SUMIFS('1.7 Revenues by Licensor'!$B26:$AO26,'1.7 Revenues by Licensor'!$B$9:$AO$9,CONCATENATE("&lt;=",$D$7))/1000000</f>
        <v>13018.524782885586</v>
      </c>
      <c r="F16" s="235">
        <f>'1.8 Device Sales'!N16/1000000</f>
        <v>376851.61994675174</v>
      </c>
      <c r="G16" s="102">
        <f t="shared" si="0"/>
        <v>2.7855161255462373E-2</v>
      </c>
      <c r="H16" s="102">
        <f t="shared" si="1"/>
        <v>3.4545492426767528E-2</v>
      </c>
    </row>
    <row r="17" spans="1:8">
      <c r="B17" s="234">
        <v>2014</v>
      </c>
      <c r="C17" s="201">
        <f>SUMIFS('1.7 Revenues by Licensor'!$B27:$AO27,'1.7 Revenues by Licensor'!$B$9:$AO$9,CONCATENATE("&lt;=",$C$7))/1000000</f>
        <v>10468.115516499209</v>
      </c>
      <c r="D17" s="201">
        <f>SUMIFS('1.7 Revenues by Licensor'!$B27:$AO27,'1.7 Revenues by Licensor'!$B$9:$AO$9,CONCATENATE("&lt;=",$D$7))/1000000</f>
        <v>13940.489793474751</v>
      </c>
      <c r="F17" s="235">
        <f>'1.8 Device Sales'!N17/1000000</f>
        <v>412093.06839989283</v>
      </c>
      <c r="G17" s="102">
        <f t="shared" si="0"/>
        <v>2.5402309136491E-2</v>
      </c>
      <c r="H17" s="102">
        <f t="shared" si="1"/>
        <v>3.3828498614655117E-2</v>
      </c>
    </row>
    <row r="18" spans="1:8">
      <c r="B18" s="234">
        <v>2015</v>
      </c>
      <c r="C18" s="201">
        <f>SUMIFS('1.7 Revenues by Licensor'!$B28:$AO28,'1.7 Revenues by Licensor'!$B$9:$AO$9,CONCATENATE("&lt;=",$C$7))/1000000</f>
        <v>11332.341897319247</v>
      </c>
      <c r="D18" s="201">
        <f>SUMIFS('1.7 Revenues by Licensor'!$B28:$AO28,'1.7 Revenues by Licensor'!$B$9:$AO$9,CONCATENATE("&lt;=",$D$7))/1000000</f>
        <v>13665.140733199978</v>
      </c>
      <c r="F18" s="235">
        <f>'1.8 Device Sales'!N18/1000000</f>
        <v>437002.79080390208</v>
      </c>
      <c r="G18" s="102">
        <f t="shared" si="0"/>
        <v>2.5931966879370463E-2</v>
      </c>
      <c r="H18" s="102">
        <f t="shared" si="1"/>
        <v>3.1270145227360775E-2</v>
      </c>
    </row>
    <row r="19" spans="1:8">
      <c r="B19" s="259">
        <v>2016</v>
      </c>
      <c r="C19" s="201">
        <f>SUMIFS('1.7 Revenues by Licensor'!$B29:$AO29,'1.7 Revenues by Licensor'!$B$9:$AO$9,CONCATENATE("&lt;=",$C$7))/1000000</f>
        <v>11097.114876184569</v>
      </c>
      <c r="D19" s="201">
        <f>SUMIFS('1.7 Revenues by Licensor'!$B29:$AO29,'1.7 Revenues by Licensor'!$B$9:$AO$9,CONCATENATE("&lt;=",$D$7))/1000000</f>
        <v>13127.279576184568</v>
      </c>
      <c r="E19" s="260"/>
      <c r="F19" s="235">
        <f>'1.8 Device Sales'!N19/1000000</f>
        <v>425100</v>
      </c>
      <c r="G19" s="102">
        <f t="shared" ref="G19" si="2">C19/F19</f>
        <v>2.6104716246023452E-2</v>
      </c>
      <c r="H19" s="102">
        <f t="shared" ref="H19" si="3">D19/F19</f>
        <v>3.0880450661455113E-2</v>
      </c>
    </row>
    <row r="20" spans="1:8">
      <c r="B20"/>
      <c r="C20" s="46"/>
      <c r="D20"/>
    </row>
    <row r="21" spans="1:8">
      <c r="B21"/>
      <c r="C21"/>
      <c r="D21"/>
      <c r="E21"/>
    </row>
    <row r="22" spans="1:8">
      <c r="B22"/>
      <c r="C22"/>
      <c r="D22"/>
      <c r="E22"/>
    </row>
    <row r="23" spans="1:8" s="152" customFormat="1">
      <c r="A23"/>
      <c r="B23"/>
      <c r="C23"/>
      <c r="D23"/>
      <c r="E23"/>
    </row>
    <row r="24" spans="1:8" s="152" customFormat="1">
      <c r="A24"/>
      <c r="B24"/>
      <c r="C24"/>
      <c r="D24"/>
      <c r="E24"/>
    </row>
    <row r="25" spans="1:8" s="152" customFormat="1">
      <c r="A25"/>
      <c r="B25"/>
      <c r="C25"/>
      <c r="D25"/>
      <c r="E25"/>
    </row>
    <row r="26" spans="1:8" s="152" customFormat="1">
      <c r="A26"/>
      <c r="B26"/>
      <c r="C26"/>
      <c r="D26"/>
      <c r="E26"/>
    </row>
    <row r="27" spans="1:8" s="152" customFormat="1">
      <c r="A27"/>
      <c r="B27"/>
      <c r="C27"/>
      <c r="D27"/>
      <c r="E27"/>
    </row>
    <row r="28" spans="1:8" s="152" customFormat="1">
      <c r="A28"/>
      <c r="B28"/>
      <c r="C28"/>
      <c r="D28"/>
      <c r="E28"/>
    </row>
    <row r="29" spans="1:8" s="152" customFormat="1">
      <c r="B29"/>
      <c r="C29"/>
      <c r="D29"/>
      <c r="E29"/>
    </row>
    <row r="30" spans="1:8" s="152" customFormat="1">
      <c r="B30"/>
      <c r="C30"/>
      <c r="D30"/>
      <c r="E30"/>
    </row>
    <row r="31" spans="1:8" s="152" customFormat="1">
      <c r="B31"/>
      <c r="C31"/>
      <c r="D31"/>
      <c r="E31"/>
    </row>
    <row r="32" spans="1:8" s="152" customFormat="1">
      <c r="B32"/>
      <c r="C32"/>
      <c r="D32"/>
      <c r="E32"/>
    </row>
    <row r="33" spans="2:5" s="152" customFormat="1">
      <c r="B33"/>
      <c r="C33"/>
      <c r="D33"/>
      <c r="E33"/>
    </row>
    <row r="34" spans="2:5" s="152" customFormat="1">
      <c r="B34"/>
      <c r="C34"/>
      <c r="D34"/>
      <c r="E34"/>
    </row>
  </sheetData>
  <mergeCells count="3">
    <mergeCell ref="A5:H5"/>
    <mergeCell ref="F8:G8"/>
    <mergeCell ref="C8:D8"/>
  </mergeCells>
  <phoneticPr fontId="16" type="noConversion"/>
  <pageMargins left="0.7" right="0.7" top="0.75" bottom="0.75" header="0.3" footer="0.3"/>
  <pageSetup orientation="landscape" horizontalDpi="4294967292" verticalDpi="4294967292" r:id="rId1"/>
  <headerFooter>
    <oddHeader>&amp;LA New Dataset on Mobile Phone _x000D_Patent License Royalties&amp;C&amp;"-,Bold"&amp;A&amp;RAugust 2017 Update</oddHeader>
    <oddFooter>&amp;LAlexander Galetovic, Stephen Haber, _x000D_and Lew Zaretzki&amp;C&amp;P of &amp;N</oddFooter>
  </headerFooter>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62</vt:i4>
      </vt:variant>
      <vt:variant>
        <vt:lpstr>Gráficos</vt:lpstr>
      </vt:variant>
      <vt:variant>
        <vt:i4>2</vt:i4>
      </vt:variant>
      <vt:variant>
        <vt:lpstr>Rangos con nombre</vt:lpstr>
      </vt:variant>
      <vt:variant>
        <vt:i4>9</vt:i4>
      </vt:variant>
    </vt:vector>
  </HeadingPairs>
  <TitlesOfParts>
    <vt:vector size="73" baseType="lpstr">
      <vt:lpstr>Title Page</vt:lpstr>
      <vt:lpstr>Citation Info</vt:lpstr>
      <vt:lpstr>2017 Improvements</vt:lpstr>
      <vt:lpstr>Table of Contents</vt:lpstr>
      <vt:lpstr>1.0 Overview-&gt;</vt:lpstr>
      <vt:lpstr>1.1 Introduction </vt:lpstr>
      <vt:lpstr>1.2 Contact</vt:lpstr>
      <vt:lpstr>1.3 Royalty Yield Summary 2016</vt:lpstr>
      <vt:lpstr>1.4 Royalty Yield Series</vt:lpstr>
      <vt:lpstr>1.5.1 Economic Summary 2015</vt:lpstr>
      <vt:lpstr>1.5.2 Economic Summary 2016</vt:lpstr>
      <vt:lpstr>1.6 Sensitivity</vt:lpstr>
      <vt:lpstr>1.7 Revenues by Licensor</vt:lpstr>
      <vt:lpstr>1.7.1 Summary by Licensor</vt:lpstr>
      <vt:lpstr>1.8 Device Sales</vt:lpstr>
      <vt:lpstr>1.9 OEM Sales</vt:lpstr>
      <vt:lpstr>2.0 Leaders-&gt;</vt:lpstr>
      <vt:lpstr>2.1 Qualcomm</vt:lpstr>
      <vt:lpstr>2.2 Ericsson</vt:lpstr>
      <vt:lpstr>2.3 Nokia</vt:lpstr>
      <vt:lpstr>2.3.1 Alcatel-Lucent (Nokia)</vt:lpstr>
      <vt:lpstr>2.4 Interdigital</vt:lpstr>
      <vt:lpstr>2.5 Microsoft</vt:lpstr>
      <vt:lpstr>3.0 Other Public-&gt;</vt:lpstr>
      <vt:lpstr>3.1 Philips</vt:lpstr>
      <vt:lpstr>3.2 ATT 802.11</vt:lpstr>
      <vt:lpstr>3.3 ATT MPEG4</vt:lpstr>
      <vt:lpstr>3.4 Broadcom</vt:lpstr>
      <vt:lpstr>3.5 Xperi</vt:lpstr>
      <vt:lpstr>3.6 Rambus</vt:lpstr>
      <vt:lpstr>3.7 Acacia Technologies</vt:lpstr>
      <vt:lpstr>3.8 Quarterhill</vt:lpstr>
      <vt:lpstr>3.9 Parkervision</vt:lpstr>
      <vt:lpstr>3.10 Unwired Planet</vt:lpstr>
      <vt:lpstr>3.11 VirnetX</vt:lpstr>
      <vt:lpstr>3.12 Marathon Patent Group</vt:lpstr>
      <vt:lpstr>3.13 IBM</vt:lpstr>
      <vt:lpstr>3.14 Tivo</vt:lpstr>
      <vt:lpstr>3.15 Technicolor</vt:lpstr>
      <vt:lpstr>3.16 Blackberry</vt:lpstr>
      <vt:lpstr>4.0 Pools-&gt;</vt:lpstr>
      <vt:lpstr>4.1 Via Licensing AAC</vt:lpstr>
      <vt:lpstr>4.2 Via Licensing LTE</vt:lpstr>
      <vt:lpstr>4.3 MPEGLA MPEG4</vt:lpstr>
      <vt:lpstr>4.4 MPEGLA AVC H.264</vt:lpstr>
      <vt:lpstr>4.5 SISVEL LTE</vt:lpstr>
      <vt:lpstr>4.6 SISVEL Wifi</vt:lpstr>
      <vt:lpstr>4.7 Via Licensing WCDMA</vt:lpstr>
      <vt:lpstr>4.8 Vectis WiFi</vt:lpstr>
      <vt:lpstr>4.9 MPEGLA HEVC</vt:lpstr>
      <vt:lpstr>4.10 HEVC Advance</vt:lpstr>
      <vt:lpstr>4.11 Velos Media HEVC</vt:lpstr>
      <vt:lpstr>5.0 Other Private-&gt;</vt:lpstr>
      <vt:lpstr>5.1 SISVEL Wireless</vt:lpstr>
      <vt:lpstr>5.2 IPCom</vt:lpstr>
      <vt:lpstr>5.3 PanOptis-Optis</vt:lpstr>
      <vt:lpstr>5.4 IP Bridge</vt:lpstr>
      <vt:lpstr>5.5 Intellectual Ventures</vt:lpstr>
      <vt:lpstr>5.6 Huawei</vt:lpstr>
      <vt:lpstr>5.7 Conversant IP</vt:lpstr>
      <vt:lpstr>6.0 Others</vt:lpstr>
      <vt:lpstr>7.0 Closing</vt:lpstr>
      <vt:lpstr>1.4.1 Fig-Royalty Yield Series</vt:lpstr>
      <vt:lpstr>1.5.3 Fig-Economic Summary 2016</vt:lpstr>
      <vt:lpstr>'1.1 Introduction '!_ftn1</vt:lpstr>
      <vt:lpstr>'1.1 Introduction '!_ftnref1</vt:lpstr>
      <vt:lpstr>rHigh</vt:lpstr>
      <vt:lpstr>rLow</vt:lpstr>
      <vt:lpstr>rTail</vt:lpstr>
      <vt:lpstr>vAACt1High</vt:lpstr>
      <vt:lpstr>vHigh</vt:lpstr>
      <vt:lpstr>vLow</vt:lpstr>
      <vt:lpstr>vTail</vt:lpstr>
    </vt:vector>
  </TitlesOfParts>
  <Company>Stanford University, Hoover Institution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 New Dataset on Mobile Phone Patent License Royalties</dc:title>
  <dc:subject>Mobile Patent Licensing Royalties</dc:subject>
  <dc:creator>Galetovic, Haber and Zaretzki</dc:creator>
  <cp:keywords>Mobile, Smartphone, Patent licensing, Royalties</cp:keywords>
  <dc:description>Updated July 2016</dc:description>
  <cp:lastModifiedBy>Alex</cp:lastModifiedBy>
  <cp:lastPrinted>2017-08-17T18:09:48Z</cp:lastPrinted>
  <dcterms:created xsi:type="dcterms:W3CDTF">2016-06-08T18:40:24Z</dcterms:created>
  <dcterms:modified xsi:type="dcterms:W3CDTF">2017-08-22T15:37:31Z</dcterms:modified>
  <cp:category>Data Set</cp:category>
</cp:coreProperties>
</file>